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Converter\Users2$\iraguz\Documents\Za web\Nova stranica 2024\2024\"/>
    </mc:Choice>
  </mc:AlternateContent>
  <bookViews>
    <workbookView xWindow="-105" yWindow="195" windowWidth="30945" windowHeight="17205" activeTab="2"/>
  </bookViews>
  <sheets>
    <sheet name="ERP" sheetId="22" r:id="rId1"/>
    <sheet name="HRT" sheetId="3" r:id="rId2"/>
    <sheet name="KONSOLIDIRANA" sheetId="10" r:id="rId3"/>
  </sheets>
  <externalReferences>
    <externalReference r:id="rId4"/>
    <externalReference r:id="rId5"/>
    <externalReference r:id="rId6"/>
  </externalReferences>
  <definedNames>
    <definedName name="_xlnm._FilterDatabase" localSheetId="2" hidden="1">KONSOLIDIRANA!$A$13:$M$277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2">KONSOLIDIRANA!$C$1:$N$277</definedName>
    <definedName name="_xlnm.Print_Area">KONSOLIDIRANA!$E$1:$N$277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3" i="3" l="1"/>
  <c r="F124" i="3"/>
  <c r="F123" i="3"/>
  <c r="F98" i="3" l="1"/>
  <c r="F193" i="3" l="1"/>
  <c r="F175" i="3" l="1"/>
  <c r="F166" i="3"/>
  <c r="F165" i="3"/>
  <c r="F132" i="3"/>
  <c r="F131" i="3"/>
  <c r="N199" i="10" l="1"/>
  <c r="N191" i="10"/>
  <c r="N75" i="10"/>
  <c r="N55" i="10"/>
  <c r="N271" i="10"/>
  <c r="N267" i="10"/>
  <c r="N259" i="10"/>
  <c r="N252" i="10"/>
  <c r="F162" i="3"/>
  <c r="N243" i="10"/>
  <c r="N221" i="10"/>
  <c r="N214" i="10"/>
  <c r="N200" i="10"/>
  <c r="N196" i="10"/>
  <c r="F70" i="3"/>
  <c r="N129" i="10"/>
  <c r="F74" i="3"/>
  <c r="I33" i="22"/>
  <c r="I31" i="22" s="1"/>
  <c r="N113" i="10"/>
  <c r="N108" i="10"/>
  <c r="N106" i="10"/>
  <c r="M104" i="10"/>
  <c r="N100" i="10"/>
  <c r="N94" i="10"/>
  <c r="N92" i="10"/>
  <c r="M88" i="10"/>
  <c r="N82" i="10"/>
  <c r="N80" i="10"/>
  <c r="N76" i="10"/>
  <c r="N72" i="10"/>
  <c r="N70" i="10"/>
  <c r="F48" i="3"/>
  <c r="M64" i="10"/>
  <c r="N60" i="10"/>
  <c r="N58" i="10"/>
  <c r="N56" i="10"/>
  <c r="N54" i="10"/>
  <c r="M48" i="10"/>
  <c r="M44" i="10"/>
  <c r="F19" i="3"/>
  <c r="N36" i="10"/>
  <c r="I21" i="22"/>
  <c r="N32" i="10"/>
  <c r="N30" i="10"/>
  <c r="N26" i="10"/>
  <c r="I24" i="22"/>
  <c r="N20" i="10"/>
  <c r="M270" i="10"/>
  <c r="M268" i="10"/>
  <c r="M260" i="10"/>
  <c r="M258" i="10"/>
  <c r="M253" i="10"/>
  <c r="M249" i="10"/>
  <c r="M248" i="10"/>
  <c r="M243" i="10"/>
  <c r="M222" i="10"/>
  <c r="M201" i="10"/>
  <c r="M190" i="10"/>
  <c r="M186" i="10"/>
  <c r="M182" i="10"/>
  <c r="M178" i="10"/>
  <c r="M174" i="10"/>
  <c r="M170" i="10"/>
  <c r="M166" i="10"/>
  <c r="M162" i="10"/>
  <c r="M158" i="10"/>
  <c r="M154" i="10"/>
  <c r="M146" i="10"/>
  <c r="M138" i="10"/>
  <c r="M122" i="10"/>
  <c r="M114" i="10"/>
  <c r="M105" i="10"/>
  <c r="M93" i="10"/>
  <c r="M89" i="10"/>
  <c r="M85" i="10"/>
  <c r="M81" i="10"/>
  <c r="M76" i="10"/>
  <c r="M69" i="10"/>
  <c r="M57" i="10"/>
  <c r="M53" i="10"/>
  <c r="M45" i="10"/>
  <c r="M37" i="10"/>
  <c r="M21" i="10"/>
  <c r="F202" i="3"/>
  <c r="F199" i="3"/>
  <c r="F198" i="3"/>
  <c r="F197" i="3"/>
  <c r="F196" i="3"/>
  <c r="F188" i="3"/>
  <c r="F187" i="3"/>
  <c r="F182" i="3"/>
  <c r="F181" i="3"/>
  <c r="F180" i="3"/>
  <c r="F178" i="3"/>
  <c r="F170" i="3"/>
  <c r="F159" i="3"/>
  <c r="F140" i="3"/>
  <c r="F139" i="3"/>
  <c r="F138" i="3"/>
  <c r="F154" i="3"/>
  <c r="F153" i="3"/>
  <c r="F152" i="3"/>
  <c r="F150" i="3"/>
  <c r="F149" i="3"/>
  <c r="F167" i="3"/>
  <c r="F147" i="3"/>
  <c r="F146" i="3"/>
  <c r="F145" i="3"/>
  <c r="F128" i="3"/>
  <c r="F126" i="3"/>
  <c r="F155" i="3"/>
  <c r="M115" i="10"/>
  <c r="F112" i="3"/>
  <c r="F111" i="3"/>
  <c r="F110" i="3"/>
  <c r="F109" i="3"/>
  <c r="F104" i="3"/>
  <c r="F101" i="3"/>
  <c r="F100" i="3"/>
  <c r="F99" i="3"/>
  <c r="F96" i="3"/>
  <c r="F93" i="3"/>
  <c r="F87" i="3"/>
  <c r="F86" i="3"/>
  <c r="F85" i="3"/>
  <c r="F76" i="3"/>
  <c r="F66" i="3"/>
  <c r="F65" i="3"/>
  <c r="F64" i="3"/>
  <c r="F60" i="3"/>
  <c r="F57" i="3"/>
  <c r="F51" i="3"/>
  <c r="F39" i="3"/>
  <c r="F28" i="3"/>
  <c r="F27" i="3"/>
  <c r="F26" i="3"/>
  <c r="F25" i="3"/>
  <c r="F17" i="3"/>
  <c r="F16" i="3"/>
  <c r="F14" i="3"/>
  <c r="F10" i="3"/>
  <c r="F134" i="3"/>
  <c r="N189" i="10"/>
  <c r="M244" i="10"/>
  <c r="F127" i="3"/>
  <c r="N263" i="10"/>
  <c r="N85" i="10"/>
  <c r="N151" i="10"/>
  <c r="N212" i="10"/>
  <c r="N121" i="10"/>
  <c r="N182" i="10"/>
  <c r="N175" i="10"/>
  <c r="N227" i="10"/>
  <c r="N155" i="10"/>
  <c r="N147" i="10"/>
  <c r="N210" i="10"/>
  <c r="N117" i="10"/>
  <c r="N179" i="10"/>
  <c r="N111" i="10"/>
  <c r="N228" i="10"/>
  <c r="N208" i="10"/>
  <c r="N216" i="10"/>
  <c r="N246" i="10"/>
  <c r="N225" i="10"/>
  <c r="N202" i="10"/>
  <c r="N198" i="10"/>
  <c r="N245" i="10"/>
  <c r="N220" i="10"/>
  <c r="N192" i="10"/>
  <c r="N171" i="10"/>
  <c r="N167" i="10"/>
  <c r="N133" i="10"/>
  <c r="N218" i="10"/>
  <c r="N209" i="10"/>
  <c r="N99" i="10"/>
  <c r="N43" i="10"/>
  <c r="N159" i="10"/>
  <c r="N115" i="10"/>
  <c r="N264" i="10"/>
  <c r="N258" i="10"/>
  <c r="F179" i="3"/>
  <c r="N270" i="10"/>
  <c r="N269" i="10"/>
  <c r="N248" i="10"/>
  <c r="N253" i="10"/>
  <c r="N249" i="10"/>
  <c r="N240" i="10"/>
  <c r="N236" i="10"/>
  <c r="N237" i="10"/>
  <c r="N226" i="10"/>
  <c r="N223" i="10"/>
  <c r="N224" i="10"/>
  <c r="N222" i="10"/>
  <c r="N213" i="10"/>
  <c r="N211" i="10"/>
  <c r="N217" i="10"/>
  <c r="N215" i="10"/>
  <c r="N201" i="10"/>
  <c r="N203" i="10"/>
  <c r="N195" i="10"/>
  <c r="N193" i="10"/>
  <c r="N194" i="10"/>
  <c r="N190" i="10"/>
  <c r="F69" i="3"/>
  <c r="N154" i="10"/>
  <c r="N150" i="10"/>
  <c r="N146" i="10"/>
  <c r="N120" i="10"/>
  <c r="N178" i="10"/>
  <c r="N128" i="10"/>
  <c r="N156" i="10"/>
  <c r="N143" i="10"/>
  <c r="N139" i="10"/>
  <c r="N135" i="10"/>
  <c r="N131" i="10"/>
  <c r="N122" i="10"/>
  <c r="N118" i="10"/>
  <c r="N183" i="10"/>
  <c r="N161" i="10"/>
  <c r="N123" i="10"/>
  <c r="N142" i="10"/>
  <c r="F90" i="3"/>
  <c r="N138" i="10"/>
  <c r="N134" i="10"/>
  <c r="N130" i="10"/>
  <c r="N112" i="10"/>
  <c r="N174" i="10"/>
  <c r="N170" i="10"/>
  <c r="N166" i="10"/>
  <c r="F105" i="3"/>
  <c r="N144" i="10"/>
  <c r="N125" i="10"/>
  <c r="N119" i="10"/>
  <c r="N186" i="10"/>
  <c r="N177" i="10"/>
  <c r="N162" i="10"/>
  <c r="N158" i="10"/>
  <c r="N114" i="10"/>
  <c r="N107" i="10"/>
  <c r="N34" i="10"/>
  <c r="N69" i="10"/>
  <c r="N78" i="10"/>
  <c r="F49" i="3"/>
  <c r="N71" i="10"/>
  <c r="F44" i="3"/>
  <c r="N51" i="10"/>
  <c r="F47" i="3"/>
  <c r="N50" i="10"/>
  <c r="N28" i="10"/>
  <c r="N102" i="10"/>
  <c r="N91" i="10"/>
  <c r="N87" i="10"/>
  <c r="N83" i="10"/>
  <c r="N79" i="10"/>
  <c r="N47" i="10"/>
  <c r="N98" i="10"/>
  <c r="N67" i="10"/>
  <c r="N63" i="10"/>
  <c r="N53" i="10"/>
  <c r="N23" i="10"/>
  <c r="N39" i="10"/>
  <c r="N103" i="10"/>
  <c r="N84" i="10"/>
  <c r="N27" i="10"/>
  <c r="N95" i="10"/>
  <c r="N90" i="10"/>
  <c r="N86" i="10"/>
  <c r="N46" i="10"/>
  <c r="N66" i="10"/>
  <c r="N62" i="10"/>
  <c r="N38" i="10"/>
  <c r="N21" i="10"/>
  <c r="M39" i="10"/>
  <c r="M129" i="10"/>
  <c r="M265" i="10"/>
  <c r="M183" i="10"/>
  <c r="M124" i="10"/>
  <c r="M132" i="10"/>
  <c r="M184" i="10"/>
  <c r="M94" i="10"/>
  <c r="M101" i="10"/>
  <c r="M107" i="10"/>
  <c r="M62" i="10"/>
  <c r="M198" i="10"/>
  <c r="M25" i="10"/>
  <c r="F81" i="3"/>
  <c r="M195" i="10"/>
  <c r="M143" i="10"/>
  <c r="M179" i="10"/>
  <c r="M224" i="10"/>
  <c r="M167" i="10"/>
  <c r="M137" i="10"/>
  <c r="M43" i="10"/>
  <c r="M120" i="10"/>
  <c r="M116" i="10"/>
  <c r="M99" i="10"/>
  <c r="M106" i="10"/>
  <c r="M245" i="10"/>
  <c r="M102" i="10"/>
  <c r="F38" i="3"/>
  <c r="M140" i="10"/>
  <c r="M215" i="10"/>
  <c r="M199" i="10"/>
  <c r="M192" i="10"/>
  <c r="M171" i="10"/>
  <c r="M262" i="10"/>
  <c r="M26" i="10"/>
  <c r="M71" i="10"/>
  <c r="M210" i="10"/>
  <c r="M227" i="10"/>
  <c r="M191" i="10"/>
  <c r="M218" i="10"/>
  <c r="M223" i="10"/>
  <c r="M58" i="10"/>
  <c r="F151" i="3"/>
  <c r="M67" i="10"/>
  <c r="M150" i="10"/>
  <c r="M266" i="10"/>
  <c r="M225" i="10"/>
  <c r="M157" i="10"/>
  <c r="M237" i="10"/>
  <c r="M28" i="10"/>
  <c r="M32" i="10"/>
  <c r="M98" i="10"/>
  <c r="M153" i="10"/>
  <c r="F34" i="3"/>
  <c r="M33" i="10"/>
  <c r="M55" i="10"/>
  <c r="M209" i="10"/>
  <c r="M211" i="10"/>
  <c r="M119" i="10"/>
  <c r="M27" i="10"/>
  <c r="M90" i="10"/>
  <c r="M139" i="10"/>
  <c r="M135" i="10"/>
  <c r="F141" i="3"/>
  <c r="M213" i="10"/>
  <c r="M49" i="10"/>
  <c r="F135" i="3"/>
  <c r="M149" i="10"/>
  <c r="F92" i="3"/>
  <c r="M125" i="10"/>
  <c r="M241" i="10"/>
  <c r="M51" i="10"/>
  <c r="M121" i="10"/>
  <c r="M175" i="10"/>
  <c r="M111" i="10"/>
  <c r="M261" i="10"/>
  <c r="M23" i="10"/>
  <c r="M24" i="10"/>
  <c r="M228" i="10"/>
  <c r="M264" i="10"/>
  <c r="M236" i="10"/>
  <c r="M216" i="10"/>
  <c r="M193" i="10"/>
  <c r="M123" i="10"/>
  <c r="F163" i="3"/>
  <c r="M233" i="10"/>
  <c r="M60" i="10"/>
  <c r="F13" i="3"/>
  <c r="M117" i="10"/>
  <c r="M160" i="10"/>
  <c r="M112" i="10"/>
  <c r="F169" i="3"/>
  <c r="M214" i="10"/>
  <c r="M202" i="10"/>
  <c r="M145" i="10"/>
  <c r="F144" i="3"/>
  <c r="M54" i="10"/>
  <c r="M161" i="10"/>
  <c r="M50" i="10"/>
  <c r="M36" i="10"/>
  <c r="I25" i="22"/>
  <c r="F36" i="3"/>
  <c r="F30" i="3"/>
  <c r="M79" i="10"/>
  <c r="M47" i="10"/>
  <c r="M144" i="10"/>
  <c r="F94" i="3"/>
  <c r="M136" i="10"/>
  <c r="M194" i="10"/>
  <c r="M63" i="10"/>
  <c r="M95" i="10"/>
  <c r="M217" i="10"/>
  <c r="M240" i="10"/>
  <c r="M172" i="10"/>
  <c r="M177" i="10"/>
  <c r="M87" i="10"/>
  <c r="M65" i="10"/>
  <c r="F8" i="3"/>
  <c r="F18" i="3"/>
  <c r="M269" i="10"/>
  <c r="I35" i="22"/>
  <c r="F77" i="3"/>
  <c r="M159" i="10"/>
  <c r="M128" i="10"/>
  <c r="F84" i="3"/>
  <c r="M169" i="10"/>
  <c r="F67" i="3"/>
  <c r="M156" i="10"/>
  <c r="M152" i="10"/>
  <c r="M148" i="10"/>
  <c r="F83" i="3"/>
  <c r="M131" i="10"/>
  <c r="M75" i="10"/>
  <c r="F79" i="3"/>
  <c r="M180" i="10"/>
  <c r="F103" i="3"/>
  <c r="M176" i="10"/>
  <c r="M52" i="10"/>
  <c r="M38" i="10"/>
  <c r="M78" i="10"/>
  <c r="M196" i="10"/>
  <c r="M203" i="10"/>
  <c r="M212" i="10"/>
  <c r="I36" i="22"/>
  <c r="M56" i="10"/>
  <c r="F143" i="3"/>
  <c r="M168" i="10"/>
  <c r="M155" i="10"/>
  <c r="M151" i="10"/>
  <c r="M147" i="10"/>
  <c r="F91" i="3"/>
  <c r="M142" i="10"/>
  <c r="M134" i="10"/>
  <c r="F82" i="3"/>
  <c r="M130" i="10"/>
  <c r="M220" i="10"/>
  <c r="F46" i="3"/>
  <c r="F108" i="3"/>
  <c r="M108" i="10"/>
  <c r="N29" i="10"/>
  <c r="M30" i="10"/>
  <c r="I23" i="22"/>
  <c r="F15" i="3"/>
  <c r="M34" i="10"/>
  <c r="F32" i="3"/>
  <c r="M246" i="10"/>
  <c r="M208" i="10"/>
  <c r="N207" i="10"/>
  <c r="F61" i="3"/>
  <c r="I34" i="22"/>
  <c r="I15" i="22" s="1"/>
  <c r="M254" i="10"/>
  <c r="M250" i="10"/>
  <c r="M238" i="10"/>
  <c r="M226" i="10"/>
  <c r="F20" i="3"/>
  <c r="M103" i="10"/>
  <c r="M92" i="10"/>
  <c r="F40" i="3"/>
  <c r="F37" i="3"/>
  <c r="M84" i="10"/>
  <c r="F31" i="3"/>
  <c r="I22" i="22"/>
  <c r="F72" i="3"/>
  <c r="M118" i="10"/>
  <c r="F95" i="3"/>
  <c r="M165" i="10"/>
  <c r="F71" i="3"/>
  <c r="M113" i="10"/>
  <c r="F58" i="3"/>
  <c r="M231" i="10"/>
  <c r="N231" i="10"/>
  <c r="N77" i="10"/>
  <c r="F41" i="3"/>
  <c r="M100" i="10"/>
  <c r="N18" i="10"/>
  <c r="N97" i="10"/>
  <c r="N164" i="10"/>
  <c r="N74" i="10"/>
  <c r="N244" i="10"/>
  <c r="N232" i="10"/>
  <c r="N181" i="10"/>
  <c r="N110" i="10"/>
  <c r="N127" i="10"/>
  <c r="M42" i="10"/>
  <c r="N42" i="10"/>
  <c r="N61" i="10"/>
  <c r="N22" i="10"/>
  <c r="M31" i="10"/>
  <c r="N31" i="10"/>
  <c r="M181" i="10"/>
  <c r="M97" i="10"/>
  <c r="M61" i="10"/>
  <c r="M18" i="10"/>
  <c r="N96" i="10"/>
  <c r="M127" i="10"/>
  <c r="M110" i="10"/>
  <c r="M164" i="10"/>
  <c r="N163" i="10"/>
  <c r="M232" i="10"/>
  <c r="M77" i="10"/>
  <c r="F11" i="3"/>
  <c r="M29" i="10"/>
  <c r="M74" i="10"/>
  <c r="I37" i="22"/>
  <c r="I26" i="22"/>
  <c r="N17" i="10"/>
  <c r="M41" i="10"/>
  <c r="N41" i="10"/>
  <c r="M96" i="10"/>
  <c r="N73" i="10"/>
  <c r="M17" i="10"/>
  <c r="M163" i="10"/>
  <c r="M73" i="10"/>
  <c r="N126" i="10"/>
  <c r="M126" i="10"/>
  <c r="N109" i="10"/>
  <c r="N261" i="10"/>
  <c r="N265" i="10"/>
  <c r="M263" i="10"/>
  <c r="N262" i="10"/>
  <c r="N266" i="10"/>
  <c r="F190" i="3"/>
  <c r="F189" i="3" s="1"/>
  <c r="M242" i="10"/>
  <c r="M247" i="10"/>
  <c r="M251" i="10"/>
  <c r="M255" i="10"/>
  <c r="N233" i="10"/>
  <c r="N241" i="10"/>
  <c r="N250" i="10"/>
  <c r="N254" i="10"/>
  <c r="M207" i="10"/>
  <c r="M200" i="10"/>
  <c r="M189" i="10"/>
  <c r="F56" i="3"/>
  <c r="F88" i="3"/>
  <c r="N137" i="10"/>
  <c r="N141" i="10"/>
  <c r="N145" i="10"/>
  <c r="N153" i="10"/>
  <c r="N157" i="10"/>
  <c r="N165" i="10"/>
  <c r="N169" i="10"/>
  <c r="M173" i="10"/>
  <c r="M185" i="10"/>
  <c r="N116" i="10"/>
  <c r="N124" i="10"/>
  <c r="N132" i="10"/>
  <c r="N136" i="10"/>
  <c r="N140" i="10"/>
  <c r="N148" i="10"/>
  <c r="N152" i="10"/>
  <c r="N160" i="10"/>
  <c r="N168" i="10"/>
  <c r="N176" i="10"/>
  <c r="N180" i="10"/>
  <c r="N184" i="10"/>
  <c r="M109" i="10"/>
  <c r="N88" i="10"/>
  <c r="N44" i="10"/>
  <c r="N64" i="10"/>
  <c r="F45" i="3"/>
  <c r="F23" i="3"/>
  <c r="F50" i="3"/>
  <c r="F9" i="3"/>
  <c r="M72" i="10"/>
  <c r="M68" i="10"/>
  <c r="N52" i="10"/>
  <c r="N48" i="10"/>
  <c r="N40" i="10"/>
  <c r="M20" i="10"/>
  <c r="N68" i="10"/>
  <c r="N104" i="10"/>
  <c r="M35" i="10"/>
  <c r="M59" i="10"/>
  <c r="M83" i="10"/>
  <c r="M91" i="10"/>
  <c r="M40" i="10"/>
  <c r="M80" i="10"/>
  <c r="N24" i="10"/>
  <c r="N256" i="10"/>
  <c r="M256" i="10"/>
  <c r="M267" i="10"/>
  <c r="M271" i="10"/>
  <c r="M257" i="10"/>
  <c r="N260" i="10"/>
  <c r="N268" i="10"/>
  <c r="M259" i="10"/>
  <c r="M235" i="10"/>
  <c r="M239" i="10"/>
  <c r="N234" i="10"/>
  <c r="N238" i="10"/>
  <c r="N242" i="10"/>
  <c r="N247" i="10"/>
  <c r="N251" i="10"/>
  <c r="N255" i="10"/>
  <c r="M234" i="10"/>
  <c r="M221" i="10"/>
  <c r="N149" i="10"/>
  <c r="M133" i="10"/>
  <c r="M141" i="10"/>
  <c r="N185" i="10"/>
  <c r="F75" i="3"/>
  <c r="N19" i="10"/>
  <c r="M22" i="10"/>
  <c r="M46" i="10"/>
  <c r="M66" i="10"/>
  <c r="M86" i="10"/>
  <c r="N25" i="10"/>
  <c r="N33" i="10"/>
  <c r="N37" i="10"/>
  <c r="N45" i="10"/>
  <c r="N49" i="10"/>
  <c r="N65" i="10"/>
  <c r="N81" i="10"/>
  <c r="N89" i="10"/>
  <c r="N93" i="10"/>
  <c r="N101" i="10"/>
  <c r="N105" i="10"/>
  <c r="F172" i="3"/>
  <c r="F171" i="3" s="1"/>
  <c r="M252" i="10"/>
  <c r="N239" i="10"/>
  <c r="N235" i="10"/>
  <c r="N257" i="10"/>
  <c r="F33" i="3"/>
  <c r="M70" i="10"/>
  <c r="M82" i="10"/>
  <c r="M19" i="10"/>
  <c r="F113" i="3"/>
  <c r="N219" i="10"/>
  <c r="M219" i="10"/>
  <c r="N197" i="10"/>
  <c r="M197" i="10"/>
  <c r="F43" i="3" l="1"/>
  <c r="F42" i="3" s="1"/>
  <c r="M16" i="10"/>
  <c r="F142" i="3"/>
  <c r="N16" i="10"/>
  <c r="F59" i="3"/>
  <c r="F73" i="3"/>
  <c r="F133" i="3"/>
  <c r="F137" i="3"/>
  <c r="F136" i="3" s="1"/>
  <c r="F186" i="3"/>
  <c r="F130" i="3"/>
  <c r="F7" i="3"/>
  <c r="F68" i="3"/>
  <c r="F35" i="3"/>
  <c r="F29" i="3" s="1"/>
  <c r="F12" i="3"/>
  <c r="F102" i="3"/>
  <c r="F24" i="3"/>
  <c r="F22" i="3" s="1"/>
  <c r="F164" i="3"/>
  <c r="F161" i="3"/>
  <c r="F148" i="3"/>
  <c r="F107" i="3"/>
  <c r="F63" i="3"/>
  <c r="F89" i="3"/>
  <c r="F80" i="3" s="1"/>
  <c r="F78" i="3" s="1"/>
  <c r="F55" i="3"/>
  <c r="I38" i="22"/>
  <c r="I13" i="22" s="1"/>
  <c r="F168" i="3"/>
  <c r="I27" i="22"/>
  <c r="I20" i="22"/>
  <c r="N35" i="10"/>
  <c r="F97" i="3" l="1"/>
  <c r="F160" i="3"/>
  <c r="F158" i="3" s="1"/>
  <c r="F157" i="3" s="1"/>
  <c r="F129" i="3"/>
  <c r="F125" i="3" s="1"/>
  <c r="F122" i="3" s="1"/>
  <c r="F121" i="3" s="1"/>
  <c r="F21" i="3"/>
  <c r="F62" i="3"/>
  <c r="F6" i="3"/>
  <c r="F5" i="3" s="1"/>
  <c r="I12" i="22"/>
  <c r="I14" i="22" s="1"/>
  <c r="I17" i="22" s="1"/>
  <c r="F54" i="3" l="1"/>
  <c r="H53" i="3" s="1"/>
  <c r="F4" i="3"/>
  <c r="K27" i="22" s="1"/>
  <c r="F119" i="3"/>
  <c r="F53" i="3" l="1"/>
  <c r="K38" i="22" s="1"/>
  <c r="F115" i="3"/>
  <c r="H4" i="3"/>
  <c r="F117" i="3" l="1"/>
  <c r="F201" i="3" s="1"/>
  <c r="F203" i="3" s="1"/>
</calcChain>
</file>

<file path=xl/comments1.xml><?xml version="1.0" encoding="utf-8"?>
<comments xmlns="http://schemas.openxmlformats.org/spreadsheetml/2006/main">
  <authors>
    <author>slavica buntic irznic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slavica buntic irznic:</t>
        </r>
        <r>
          <rPr>
            <sz val="9"/>
            <color indexed="81"/>
            <rFont val="Tahoma"/>
            <family val="2"/>
          </rPr>
          <t xml:space="preserve">
zadnja izmjena 6.10.2021</t>
        </r>
      </text>
    </comment>
  </commentList>
</comments>
</file>

<file path=xl/sharedStrings.xml><?xml version="1.0" encoding="utf-8"?>
<sst xmlns="http://schemas.openxmlformats.org/spreadsheetml/2006/main" count="2009" uniqueCount="967">
  <si>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</si>
  <si>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</si>
  <si>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</si>
  <si>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</si>
  <si>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</si>
  <si>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</si>
  <si>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</si>
  <si>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</si>
  <si>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</si>
  <si>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</si>
  <si>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</si>
  <si>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</si>
  <si>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</si>
  <si>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</si>
  <si>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</si>
  <si>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</si>
  <si>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</si>
  <si>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</si>
  <si>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</si>
  <si>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</si>
  <si>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</si>
  <si>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</si>
  <si>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</si>
  <si>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</si>
  <si>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</si>
  <si>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</si>
  <si>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</si>
  <si>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</si>
  <si>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</si>
  <si>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</si>
  <si>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</si>
  <si>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</si>
  <si>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</si>
  <si>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</si>
  <si>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Other taxes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</si>
  <si>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</si>
  <si>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</si>
  <si>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</si>
  <si>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</si>
  <si>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</si>
  <si>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</si>
  <si>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Other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</si>
  <si>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</si>
  <si>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</si>
  <si>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</si>
  <si>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</si>
  <si>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</si>
  <si>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</si>
  <si>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</si>
  <si>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</si>
  <si>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</si>
  <si>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</si>
  <si>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</si>
  <si>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</si>
  <si>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</si>
  <si>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</si>
  <si>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</si>
  <si>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</si>
  <si>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</si>
  <si>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</si>
  <si>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</si>
  <si>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</si>
  <si>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</si>
  <si>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</si>
  <si>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</si>
  <si>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</si>
  <si>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</si>
  <si>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</si>
  <si>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</si>
  <si>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</si>
  <si>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</si>
  <si>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</si>
  <si>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</si>
  <si>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</si>
  <si>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</si>
  <si>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</si>
  <si>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</si>
  <si>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</si>
  <si>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</si>
  <si>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</si>
  <si>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</si>
  <si>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</si>
  <si>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</si>
  <si>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</si>
  <si>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</si>
  <si>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</si>
  <si>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</si>
  <si>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</si>
  <si>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</si>
  <si>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</si>
  <si>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</si>
  <si>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</si>
  <si>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</si>
  <si>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</si>
  <si>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</si>
  <si>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</si>
  <si>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</si>
  <si>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</si>
  <si>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</si>
  <si>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</si>
  <si>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</si>
  <si>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</si>
  <si>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</si>
  <si>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</si>
  <si>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</si>
  <si>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</si>
  <si>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</si>
  <si>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</si>
  <si>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</si>
  <si>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</si>
  <si>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</si>
  <si>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</si>
  <si>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</si>
  <si>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</si>
  <si>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</si>
  <si>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</si>
  <si>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</si>
  <si>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</si>
  <si>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</si>
  <si>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</si>
  <si>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</si>
  <si>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</si>
  <si>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</si>
  <si>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</si>
  <si>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</si>
  <si>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</si>
  <si>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</si>
  <si>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</si>
  <si>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</si>
  <si>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</si>
  <si>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</si>
  <si>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</si>
  <si>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</si>
  <si>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</si>
  <si>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</si>
  <si>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</si>
  <si>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</si>
  <si>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</si>
  <si>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</si>
  <si>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</si>
  <si>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</si>
  <si>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</si>
  <si>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</si>
  <si>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</si>
  <si>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</si>
  <si>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</si>
  <si>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</si>
  <si>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</si>
  <si>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</si>
  <si>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</si>
  <si>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</si>
  <si>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</si>
  <si>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</si>
  <si>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</si>
  <si>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</si>
  <si>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</si>
  <si>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</si>
  <si>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</si>
  <si>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</si>
  <si>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</si>
  <si>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</si>
  <si>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</si>
  <si>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</si>
  <si>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</si>
  <si>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</si>
  <si>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</si>
  <si>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</si>
  <si>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</si>
  <si>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</si>
  <si>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</si>
  <si>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</si>
  <si>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</si>
  <si>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</si>
  <si>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</si>
  <si>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</si>
  <si>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</si>
  <si>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</si>
  <si>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</si>
  <si>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</si>
  <si>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</si>
  <si>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</si>
  <si>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</si>
  <si>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</si>
  <si>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</si>
  <si>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</si>
  <si>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</si>
  <si>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</si>
  <si>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</si>
  <si>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</si>
  <si>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</si>
  <si>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</si>
  <si>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</si>
  <si>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</si>
  <si>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</si>
  <si>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</si>
  <si>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</si>
  <si>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</si>
  <si>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</si>
  <si>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</si>
  <si>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</si>
  <si>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</si>
  <si>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</si>
  <si>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</si>
  <si>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</si>
  <si>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</si>
  <si>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</si>
  <si>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</si>
  <si>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</si>
  <si>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</si>
  <si>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</si>
  <si>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</si>
  <si>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</si>
  <si>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</si>
  <si>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</si>
  <si>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</si>
  <si>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</si>
  <si>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</si>
  <si>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</si>
  <si>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</si>
  <si>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</si>
  <si>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</si>
  <si>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</si>
  <si>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</si>
  <si>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</si>
  <si>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</si>
  <si>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</si>
  <si>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</si>
  <si>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</si>
  <si>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</si>
  <si>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</si>
  <si>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</si>
  <si>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</si>
  <si>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</si>
  <si>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</si>
  <si>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</si>
  <si>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</si>
  <si>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</si>
  <si>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</si>
  <si>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</si>
  <si>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</si>
  <si>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</si>
  <si>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</si>
  <si>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</si>
  <si>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Vrijednosni papiri</t>
  </si>
  <si>
    <t>Kratkoročna potraživanja</t>
  </si>
  <si>
    <t>Kratkoročni plasmani</t>
  </si>
  <si>
    <t>Kratkoročne obaveze i razgraničenja</t>
  </si>
  <si>
    <t>Dugoročne obaveze i razgraničenja</t>
  </si>
  <si>
    <t>Kapitalni transferi</t>
  </si>
  <si>
    <t>721214</t>
  </si>
  <si>
    <t>Drugi tekući rashodi</t>
  </si>
  <si>
    <t>614242</t>
  </si>
  <si>
    <t>614241</t>
  </si>
  <si>
    <t>614232</t>
  </si>
  <si>
    <t>Kantoni</t>
  </si>
  <si>
    <t>Ostale obaveze</t>
  </si>
  <si>
    <t>211</t>
  </si>
  <si>
    <t>1412</t>
  </si>
  <si>
    <t>Ostali krediti</t>
  </si>
  <si>
    <t>Krediti</t>
  </si>
  <si>
    <t>121</t>
  </si>
  <si>
    <t>1112</t>
  </si>
  <si>
    <t>1111</t>
  </si>
  <si>
    <t>Ostalo</t>
  </si>
  <si>
    <t>Revenue</t>
  </si>
  <si>
    <t>Ukupni prihodi</t>
  </si>
  <si>
    <t>Taxes</t>
  </si>
  <si>
    <t>Porezi</t>
  </si>
  <si>
    <t>11D</t>
  </si>
  <si>
    <t>Direct taxes</t>
  </si>
  <si>
    <t>Direktni porezi</t>
  </si>
  <si>
    <t xml:space="preserve">Taxes on income, profits and capital gains </t>
  </si>
  <si>
    <t>Porezi na dohodak i dobit</t>
  </si>
  <si>
    <t xml:space="preserve">      Individual income taxes</t>
  </si>
  <si>
    <t>Porezi na dohodak pojedinaca</t>
  </si>
  <si>
    <t xml:space="preserve">      Corporate income tax</t>
  </si>
  <si>
    <t xml:space="preserve">      Other taxes on income, profit and capital gains</t>
  </si>
  <si>
    <t>Ostali porezi na dobit</t>
  </si>
  <si>
    <t>Taxes on payroll and workforce</t>
  </si>
  <si>
    <t>Porezi na platu i radnu snagu</t>
  </si>
  <si>
    <t>Taxes on property</t>
  </si>
  <si>
    <t>Porez na imovinu</t>
  </si>
  <si>
    <t xml:space="preserve">        Recurrent taxes on immovable property</t>
  </si>
  <si>
    <t>Porezi na nekretnine</t>
  </si>
  <si>
    <t>Recurrent taxes on net wealth</t>
  </si>
  <si>
    <t>Porezi na imovinu</t>
  </si>
  <si>
    <t>Estate, inheritance, and gift taxes</t>
  </si>
  <si>
    <t>Porez na nasljeđe i darove / poklone</t>
  </si>
  <si>
    <t>Taxes on financial and capital transactions</t>
  </si>
  <si>
    <t>Porez na financijske i kapitalne transakcije</t>
  </si>
  <si>
    <t>Other taxes on property</t>
  </si>
  <si>
    <t>Ostali porezi na imovinu</t>
  </si>
  <si>
    <t>11I</t>
  </si>
  <si>
    <t>114; 115</t>
  </si>
  <si>
    <t xml:space="preserve">Indirect taxes </t>
  </si>
  <si>
    <t>Indirektni porezi (uključujući putarine)</t>
  </si>
  <si>
    <t>Social security contributions</t>
  </si>
  <si>
    <t>Doprinosi za socijalno osiguranje</t>
  </si>
  <si>
    <t>Grants</t>
  </si>
  <si>
    <t>Grantovi</t>
  </si>
  <si>
    <t>13R</t>
  </si>
  <si>
    <t>131; 132</t>
  </si>
  <si>
    <t>Foreign grants</t>
  </si>
  <si>
    <t>Grantovi od stranih vlada i međunarodnih organizacija</t>
  </si>
  <si>
    <t>13RA</t>
  </si>
  <si>
    <t>For budget support</t>
  </si>
  <si>
    <t>za budžetsku podršku</t>
  </si>
  <si>
    <t>13RB</t>
  </si>
  <si>
    <t>For investment projects</t>
  </si>
  <si>
    <t>za investicione projekte</t>
  </si>
  <si>
    <t>13RB1</t>
  </si>
  <si>
    <t>Monetary grants channeled through Treasury</t>
  </si>
  <si>
    <t>monetarni grantovi evidentirani kroz trezor</t>
  </si>
  <si>
    <t>13RB2</t>
  </si>
  <si>
    <t>Monetary grants channeled through donor-controlled accounts</t>
  </si>
  <si>
    <t>monetrani grantovi evidentirani kroz račune koje kontrolišu donatori</t>
  </si>
  <si>
    <t>13RB3</t>
  </si>
  <si>
    <t xml:space="preserve">In-kind grants </t>
  </si>
  <si>
    <t>u naturi</t>
  </si>
  <si>
    <t>13RB4</t>
  </si>
  <si>
    <t>Grants provided in the form of technical assistance (TA)</t>
  </si>
  <si>
    <t>grantovi dati u obliku tehničke pomoći (TP)</t>
  </si>
  <si>
    <t>Transfers from other general government units</t>
  </si>
  <si>
    <t>Transferi od ostalih budžetskih jedinica</t>
  </si>
  <si>
    <t>133A</t>
  </si>
  <si>
    <t>State institutions</t>
  </si>
  <si>
    <t>Država</t>
  </si>
  <si>
    <t>133B</t>
  </si>
  <si>
    <t>Central government</t>
  </si>
  <si>
    <t>Centralna vlada</t>
  </si>
  <si>
    <t>Other Entity</t>
  </si>
  <si>
    <t>Drugog Entiteta</t>
  </si>
  <si>
    <t>Cantons</t>
  </si>
  <si>
    <t>133C</t>
  </si>
  <si>
    <t>Municipalities</t>
  </si>
  <si>
    <t>Opštine</t>
  </si>
  <si>
    <t>133D</t>
  </si>
  <si>
    <t>Social funds</t>
  </si>
  <si>
    <t>Socijalni fondovi</t>
  </si>
  <si>
    <t>Pension fund</t>
  </si>
  <si>
    <t>Penzioni fond</t>
  </si>
  <si>
    <t>Health fund</t>
  </si>
  <si>
    <t>Fond zdravstva</t>
  </si>
  <si>
    <t>Employment fund</t>
  </si>
  <si>
    <t>Zavod za zaposljavanje</t>
  </si>
  <si>
    <t>Childrens' fund</t>
  </si>
  <si>
    <t>Fond djecije zastite</t>
  </si>
  <si>
    <t>133E</t>
  </si>
  <si>
    <t>Road and highway funds</t>
  </si>
  <si>
    <t>JP Putevi i JP Autoputevi</t>
  </si>
  <si>
    <t>133F</t>
  </si>
  <si>
    <t xml:space="preserve">Ostali transferi </t>
  </si>
  <si>
    <t>Other (non-tax) revenue</t>
  </si>
  <si>
    <t>Neporeski prihodi</t>
  </si>
  <si>
    <t>Property income</t>
  </si>
  <si>
    <t>Prihodi od imovine</t>
  </si>
  <si>
    <t>141A</t>
  </si>
  <si>
    <t>Interest payments by lower levels of government and public enterprizes channeled through the central government</t>
  </si>
  <si>
    <t>Primici po osnovu kamata od nizih nivoa vlasti i javnih preduzeca kanalisani kroz centralnu vladu</t>
  </si>
  <si>
    <t>Dividends</t>
  </si>
  <si>
    <t>Dividende</t>
  </si>
  <si>
    <t>Sales of goods and services</t>
  </si>
  <si>
    <t>Prihodi od prodaje roba i usluga</t>
  </si>
  <si>
    <t>Voluntary transfers other than grants</t>
  </si>
  <si>
    <t>Dobrovoljni transferi osim grantova</t>
  </si>
  <si>
    <t>Fines, penalties, and forfeits</t>
  </si>
  <si>
    <t>Other non-tax revenue</t>
  </si>
  <si>
    <t xml:space="preserve">Ostali neporeski prihodi </t>
  </si>
  <si>
    <t>Other non-tax revenue (incl. fees, etc.)</t>
  </si>
  <si>
    <t>Ostali neporeski prihodi (ukljucujuci takse, itd.)</t>
  </si>
  <si>
    <t>2+31</t>
  </si>
  <si>
    <t>Expenditure</t>
  </si>
  <si>
    <t>Ukupni rashodi</t>
  </si>
  <si>
    <t>Expense</t>
  </si>
  <si>
    <t>Tekuci rashodi</t>
  </si>
  <si>
    <t>Compensation of employees</t>
  </si>
  <si>
    <t>Bruto plate i naknade zaposlenih</t>
  </si>
  <si>
    <t xml:space="preserve">Wages and salaries </t>
  </si>
  <si>
    <t xml:space="preserve">      Plate</t>
  </si>
  <si>
    <t>Allowances</t>
  </si>
  <si>
    <t>Naknade</t>
  </si>
  <si>
    <t>Social contributions</t>
  </si>
  <si>
    <t xml:space="preserve">Doprinosi na platu i iz plate </t>
  </si>
  <si>
    <t>Use of goods and services</t>
  </si>
  <si>
    <t>Izdaci za robe i usluge</t>
  </si>
  <si>
    <t>22A</t>
  </si>
  <si>
    <t>Cost of lawsuits - interest paid on court awards, lawyer and court fees</t>
  </si>
  <si>
    <t>Troškovi po osnovu sudskih tužbi-kamate plaćene na sudske presude, troškovi advokata i sudske takse</t>
  </si>
  <si>
    <t>22B</t>
  </si>
  <si>
    <t>Other goods and services</t>
  </si>
  <si>
    <t>Ostalo za robe i usluge</t>
  </si>
  <si>
    <t>Social benefits</t>
  </si>
  <si>
    <t>Doznake na ime socijalne zaštite</t>
  </si>
  <si>
    <t>Social security benefits</t>
  </si>
  <si>
    <t xml:space="preserve">Doznake na ime socijalne zaštite koje isplaćuju institucije obaveznog socijalnog osiguranja </t>
  </si>
  <si>
    <t>271A</t>
  </si>
  <si>
    <t>Transfers to unemployed</t>
  </si>
  <si>
    <t>Transferi nezaposlenima</t>
  </si>
  <si>
    <t>271B</t>
  </si>
  <si>
    <t>Family benefits and parential compensations</t>
  </si>
  <si>
    <t>Transferi pojedincima na području dječije zaštite</t>
  </si>
  <si>
    <t>271C</t>
  </si>
  <si>
    <t>Pensions</t>
  </si>
  <si>
    <t>Transferi pojedincima na području penzijskog osiguranja</t>
  </si>
  <si>
    <t>271D</t>
  </si>
  <si>
    <t>Sickness benefits and other transfers for health insurance</t>
  </si>
  <si>
    <t>Transferi pojedincima na području zdravstvenog osiguranja</t>
  </si>
  <si>
    <t>Social security allowances</t>
  </si>
  <si>
    <t xml:space="preserve">Doznake na ime socijalne zaštite koje se isplaćuju iz budžeta </t>
  </si>
  <si>
    <t>Transfers to civilian disabled</t>
  </si>
  <si>
    <t>Transferi pojedincima na podrućju civilnog invalidskog osiguranja</t>
  </si>
  <si>
    <t>Transfers to war disabled, war veterans, metal holders, and demobilized soldiers</t>
  </si>
  <si>
    <t>Transferi za ratne vojne invalide, nosioce ratnih priznanja i demobilisane borce</t>
  </si>
  <si>
    <t>Other social security allowances</t>
  </si>
  <si>
    <t>Ostali</t>
  </si>
  <si>
    <t>Other transfers to individuals and households</t>
  </si>
  <si>
    <t xml:space="preserve">         Drugi transferi pojedincima</t>
  </si>
  <si>
    <t>Interest</t>
  </si>
  <si>
    <t>Izdaci za kamate</t>
  </si>
  <si>
    <t>Interest payments to nonresidents</t>
  </si>
  <si>
    <t xml:space="preserve">Izdaci po osnovu kamata u inostranstvu </t>
  </si>
  <si>
    <t>24R</t>
  </si>
  <si>
    <t>242; 243</t>
  </si>
  <si>
    <t>Interest payments to residents other than general government</t>
  </si>
  <si>
    <t>24G</t>
  </si>
  <si>
    <t>Interest payments to other general government units</t>
  </si>
  <si>
    <t>Izdaci po osnovu kamata drugim jedinicama generalne vlade</t>
  </si>
  <si>
    <t>Subsidies</t>
  </si>
  <si>
    <t>Subvencije</t>
  </si>
  <si>
    <t>261; 262</t>
  </si>
  <si>
    <t>Grants (to non-residents)</t>
  </si>
  <si>
    <t>Donacije (to non-residents)</t>
  </si>
  <si>
    <t>Transfers to other general government units</t>
  </si>
  <si>
    <t>Transferi drugim jedinicama generalne vlade</t>
  </si>
  <si>
    <t>263A</t>
  </si>
  <si>
    <t>263B</t>
  </si>
  <si>
    <t>263C</t>
  </si>
  <si>
    <t>Drugom Entitetu</t>
  </si>
  <si>
    <t>263D</t>
  </si>
  <si>
    <t>Transfers for deficit financing</t>
  </si>
  <si>
    <t>Transferi za finansiranje deficita</t>
  </si>
  <si>
    <t>Transfers for civilian victims of war (Federation only)</t>
  </si>
  <si>
    <t>Civilne žrtve rata (Federacija)</t>
  </si>
  <si>
    <t>Other transfers (earmarked)</t>
  </si>
  <si>
    <t>Ostali transferi (namjenski)</t>
  </si>
  <si>
    <t>263E</t>
  </si>
  <si>
    <t>263F</t>
  </si>
  <si>
    <t>263F1</t>
  </si>
  <si>
    <t>263F2</t>
  </si>
  <si>
    <t>263F3</t>
  </si>
  <si>
    <t>Zavod za zapošljavanje</t>
  </si>
  <si>
    <t>263F4</t>
  </si>
  <si>
    <t>Fond dječije zaštite</t>
  </si>
  <si>
    <t>263G</t>
  </si>
  <si>
    <t>263H</t>
  </si>
  <si>
    <t>Consumption of fixed capital</t>
  </si>
  <si>
    <t>Korištenje stalnih sredstava</t>
  </si>
  <si>
    <t>Other expense</t>
  </si>
  <si>
    <t>Drugi rashodi</t>
  </si>
  <si>
    <t>Current</t>
  </si>
  <si>
    <t>Tekući</t>
  </si>
  <si>
    <t>Budget reserve</t>
  </si>
  <si>
    <t>Current transfers to financial enterprizes and NGOs</t>
  </si>
  <si>
    <t>Tekući transferi finansijskim institucijama i neprofitnim organizacijama</t>
  </si>
  <si>
    <t>Other current expense</t>
  </si>
  <si>
    <t>Capital transfers</t>
  </si>
  <si>
    <t>2822A</t>
  </si>
  <si>
    <t>Capital transfers to individuals, financial and nonfinancial enterprizes, and NGOs</t>
  </si>
  <si>
    <t>Kapitalni transferi pojedincima, preduzećima, finansijskim institucijama, neprofitnim organizacijama</t>
  </si>
  <si>
    <t>2822B</t>
  </si>
  <si>
    <t>Cost of lawsuits - court awards</t>
  </si>
  <si>
    <t>Troškovi po osnovu sudskih tužbi-sudskih presuda</t>
  </si>
  <si>
    <t>2822C</t>
  </si>
  <si>
    <t>Other capital transfers</t>
  </si>
  <si>
    <t>Ostali kapitalni rashodi</t>
  </si>
  <si>
    <t>Net acquisition of nonfinancial assets</t>
  </si>
  <si>
    <t>Neto izdaci za nefinansijsku imovinu</t>
  </si>
  <si>
    <t>31.1</t>
  </si>
  <si>
    <t>Acquisition of nonfinancial assets</t>
  </si>
  <si>
    <t xml:space="preserve">Izdaci za nefinansijsku imovinu </t>
  </si>
  <si>
    <t>31.1A</t>
  </si>
  <si>
    <t>Foreign financed capital spending</t>
  </si>
  <si>
    <t>Kapitalni rashodi finansirani iz inostranstva</t>
  </si>
  <si>
    <t>31.1B</t>
  </si>
  <si>
    <t>Domestically financed capital spending</t>
  </si>
  <si>
    <t>Kapitalni rashodi finansirani iz domaćih sredstava</t>
  </si>
  <si>
    <t>Budget</t>
  </si>
  <si>
    <t>Budžet</t>
  </si>
  <si>
    <t>Escrow account</t>
  </si>
  <si>
    <t>Escrow racun</t>
  </si>
  <si>
    <t>31.2</t>
  </si>
  <si>
    <t>Disposal of nonfinancial assets</t>
  </si>
  <si>
    <t>Primici od nefinansijske imovine</t>
  </si>
  <si>
    <t>1-2</t>
  </si>
  <si>
    <t>Gross / Net Operating Balance (= revenue minus expense)</t>
  </si>
  <si>
    <t>Bruto/Neto operativni bilans (=prihodi minus tekući rashodi)</t>
  </si>
  <si>
    <t>1 - (2+31)</t>
  </si>
  <si>
    <t>Net lending/borrowing (= revenue minus expenditure)</t>
  </si>
  <si>
    <t>Neto pozajmljivanje/zaduživanje (=ukupni prihodi minus ukupni rashodi)</t>
  </si>
  <si>
    <t>32+33+Discrepancy</t>
  </si>
  <si>
    <t>Net financial transactions = (Minus) Net lending/borrowing</t>
  </si>
  <si>
    <t>Neto finansiranje = (Minus) Neto pozajmljivanje/zaduzivanje</t>
  </si>
  <si>
    <t>Net financing from financial assets</t>
  </si>
  <si>
    <t>Neto finansiranje od finansijske imovine</t>
  </si>
  <si>
    <t>Domestic assets</t>
  </si>
  <si>
    <t>Domaća finansijska imovina (promjena stanja, povećanje = minus)</t>
  </si>
  <si>
    <t>Currency and deposits</t>
  </si>
  <si>
    <t>Valuta i depoziti</t>
  </si>
  <si>
    <t>Debt securities</t>
  </si>
  <si>
    <t>Hartije od vrijednosti</t>
  </si>
  <si>
    <t>Loans</t>
  </si>
  <si>
    <t>3214A</t>
  </si>
  <si>
    <t>CBBH</t>
  </si>
  <si>
    <t>3214B</t>
  </si>
  <si>
    <t>Commercial banks</t>
  </si>
  <si>
    <t>Komercijalne banke</t>
  </si>
  <si>
    <t>3214C</t>
  </si>
  <si>
    <t>Development banks</t>
  </si>
  <si>
    <t>Razvojne banke</t>
  </si>
  <si>
    <t>3214D</t>
  </si>
  <si>
    <t>Another general government unit</t>
  </si>
  <si>
    <t>Ostali nivoi vlasti</t>
  </si>
  <si>
    <t>3214D.2</t>
  </si>
  <si>
    <t>Received repayment of loans</t>
  </si>
  <si>
    <t>Primljene otplate od pozajmljivanja (primici)</t>
  </si>
  <si>
    <t>3214D.21</t>
  </si>
  <si>
    <t>Servis glavnica i kamate duga od strane nižih nivoa vlasti kroz centralnu vladu</t>
  </si>
  <si>
    <t>3214D.22</t>
  </si>
  <si>
    <t>3214D.1</t>
  </si>
  <si>
    <t>Extension of loans</t>
  </si>
  <si>
    <t>Plasiranje kredita (izdaci)</t>
  </si>
  <si>
    <t>3214D.11</t>
  </si>
  <si>
    <t>Pass-through of foreign loans spent and serviced by lower levels of government</t>
  </si>
  <si>
    <t>Dug koji je supsidijarno prenesen na krajnje korisnike</t>
  </si>
  <si>
    <t>3214D.12</t>
  </si>
  <si>
    <t>3214E</t>
  </si>
  <si>
    <t>Enterprizes (private and public)</t>
  </si>
  <si>
    <t>Preduzeća (javna i privatna)</t>
  </si>
  <si>
    <t>Related to foreign loans</t>
  </si>
  <si>
    <t>Inozemni krediti</t>
  </si>
  <si>
    <t>Servis glavnica i kamate duga od strane javnih preduzeca kroz centralnu vladu</t>
  </si>
  <si>
    <t>Pass-through of foreign loans spent and serviced by public enterprizes</t>
  </si>
  <si>
    <t>Povlačenja duga koji je supsidijarno prenesen na javna preduzeca</t>
  </si>
  <si>
    <t>3214F</t>
  </si>
  <si>
    <t>Other loans</t>
  </si>
  <si>
    <t>Equity and investment fund shares</t>
  </si>
  <si>
    <t>Kapital i akcije</t>
  </si>
  <si>
    <t>3215A</t>
  </si>
  <si>
    <t>Privatization proceeds</t>
  </si>
  <si>
    <t>Prihodi od privatizacije</t>
  </si>
  <si>
    <t>3215B</t>
  </si>
  <si>
    <t>Insurance, pensions, and standardized guarantee schemes</t>
  </si>
  <si>
    <t>Osiguranje, penzije i standardna zajamcena sema</t>
  </si>
  <si>
    <t>Financial derivatives and employee stock options</t>
  </si>
  <si>
    <t>Finansijski derivati i dioničke opcije zaposlenih</t>
  </si>
  <si>
    <t>Other accounts receivable</t>
  </si>
  <si>
    <t>Ostala potrazivanja</t>
  </si>
  <si>
    <t xml:space="preserve">Foreign assets </t>
  </si>
  <si>
    <t>Inozemna finansijska imovina (promjena stanja, povećanje = minus)</t>
  </si>
  <si>
    <t>Currency and deposits (incl. succession funds)</t>
  </si>
  <si>
    <t>Valuta i depoziti (i sredstva od sukcesije)</t>
  </si>
  <si>
    <t>Kapital i dionice u investicionim fondovima</t>
  </si>
  <si>
    <t>Finansijski derivati i dionicke opcije zaposlenih</t>
  </si>
  <si>
    <t>Ostala potraživanja</t>
  </si>
  <si>
    <t>Net incurrence of liabilities</t>
  </si>
  <si>
    <t>Neto zaduživanje (neto odplate dugova)</t>
  </si>
  <si>
    <t>Domestic liabilities (change in stock, increase = plus)</t>
  </si>
  <si>
    <t>Domaća zaduživanja (promjena stanja, povećanje = plus)</t>
  </si>
  <si>
    <t>Issuance</t>
  </si>
  <si>
    <t>Izdavanje</t>
  </si>
  <si>
    <t>33131.1</t>
  </si>
  <si>
    <t>Short-term T-Bills</t>
  </si>
  <si>
    <t>33132.1</t>
  </si>
  <si>
    <t>Long-term government bonds</t>
  </si>
  <si>
    <t>Amortization</t>
  </si>
  <si>
    <t>Otplata</t>
  </si>
  <si>
    <t>3313B</t>
  </si>
  <si>
    <t>Government obligations under the Law on Internal Debt, issued guarantees, and other obligations from previous years</t>
  </si>
  <si>
    <t>Obaveze po Zakonu o unutrašnjem dugu, izdanim garancijama, i ostale obaveze iz ranijih godina</t>
  </si>
  <si>
    <t>3314A</t>
  </si>
  <si>
    <t>3314B</t>
  </si>
  <si>
    <t>3314C</t>
  </si>
  <si>
    <t>3314C.1</t>
  </si>
  <si>
    <t>Drawing of loans</t>
  </si>
  <si>
    <t>Povlačenja kredita (primici)</t>
  </si>
  <si>
    <t>3314C.2</t>
  </si>
  <si>
    <t>Repayment of loans</t>
  </si>
  <si>
    <t>Otplata kredita (izdaci)</t>
  </si>
  <si>
    <t>3314D</t>
  </si>
  <si>
    <t>3314E</t>
  </si>
  <si>
    <t>Other accounts payable</t>
  </si>
  <si>
    <t>Change in float</t>
  </si>
  <si>
    <t>Promjena u razlici obračunato/plaćeno (float)</t>
  </si>
  <si>
    <t>Change in arrears</t>
  </si>
  <si>
    <t>Promjena u dospjelim neizmirenim obavezama</t>
  </si>
  <si>
    <t>Foreign liabilities (change in stock, increase = plus)</t>
  </si>
  <si>
    <t>Zaduživanja u inostranstvu (promjena stanja, povećanje = plus)</t>
  </si>
  <si>
    <t xml:space="preserve">Krediti </t>
  </si>
  <si>
    <t>Drawings</t>
  </si>
  <si>
    <t>Primici od zaduživanja</t>
  </si>
  <si>
    <t>Za budžetsku podršku</t>
  </si>
  <si>
    <t>Za investicione projekte</t>
  </si>
  <si>
    <t>Izdaci za otplatu dugova</t>
  </si>
  <si>
    <t>Budget support loans</t>
  </si>
  <si>
    <t>Krediti za budžetsku podršku</t>
  </si>
  <si>
    <t>Loans for investment projects</t>
  </si>
  <si>
    <t>Krediti za investicione projekte</t>
  </si>
  <si>
    <t>`</t>
  </si>
  <si>
    <r>
      <t xml:space="preserve">Izdaci po osnovu kamata u zemlji </t>
    </r>
    <r>
      <rPr>
        <sz val="10"/>
        <color indexed="10"/>
        <rFont val="Arial"/>
        <family val="2"/>
      </rPr>
      <t>osim za generalnu vladu</t>
    </r>
  </si>
  <si>
    <r>
      <t>Debt service</t>
    </r>
    <r>
      <rPr>
        <sz val="10"/>
        <color indexed="8"/>
        <rFont val="Arial"/>
        <family val="2"/>
      </rPr>
      <t xml:space="preserve"> (principle) by lower levels of government channeled through the central government</t>
    </r>
  </si>
  <si>
    <r>
      <t xml:space="preserve">Debt service </t>
    </r>
    <r>
      <rPr>
        <sz val="10"/>
        <color indexed="8"/>
        <rFont val="Arial"/>
        <family val="2"/>
      </rPr>
      <t>(principal) by public enterprizes channeled through the central government</t>
    </r>
  </si>
  <si>
    <r>
      <t xml:space="preserve">Debt service </t>
    </r>
    <r>
      <rPr>
        <sz val="10"/>
        <color indexed="8"/>
        <rFont val="Arial"/>
        <family val="2"/>
      </rPr>
      <t>(principal) by lower levels of government channeled through the central government</t>
    </r>
  </si>
  <si>
    <t>Discrepancy</t>
  </si>
  <si>
    <t>Korektivna stavka</t>
  </si>
  <si>
    <t>133G</t>
  </si>
  <si>
    <t>133H</t>
  </si>
  <si>
    <t>133F1</t>
  </si>
  <si>
    <t>133F2</t>
  </si>
  <si>
    <t>133F3</t>
  </si>
  <si>
    <t>133F4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</si>
  <si>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</si>
  <si>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</si>
  <si>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</si>
  <si>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</si>
  <si>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</si>
  <si>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</si>
  <si>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</si>
  <si>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</si>
  <si>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</si>
  <si>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</si>
  <si>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</si>
  <si>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</si>
  <si>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</si>
  <si>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</si>
  <si>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</si>
  <si>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</si>
  <si>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</si>
  <si>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211A</t>
  </si>
  <si>
    <t>3214E1</t>
  </si>
  <si>
    <t>3214E11</t>
  </si>
  <si>
    <t>3214E12</t>
  </si>
  <si>
    <t>3226</t>
  </si>
  <si>
    <t>3227</t>
  </si>
  <si>
    <t>3228</t>
  </si>
  <si>
    <t>33131.2</t>
  </si>
  <si>
    <t>33132.2</t>
  </si>
  <si>
    <t>3314A.1</t>
  </si>
  <si>
    <t>3314A.2</t>
  </si>
  <si>
    <t>3314E.2</t>
  </si>
  <si>
    <t>_Z</t>
  </si>
  <si>
    <t>3214E2</t>
  </si>
  <si>
    <t>_z</t>
  </si>
  <si>
    <t>25</t>
  </si>
  <si>
    <t>614150</t>
  </si>
  <si>
    <t>1131</t>
  </si>
  <si>
    <t>145</t>
  </si>
  <si>
    <r>
      <t>GSM/UMTS</t>
    </r>
    <r>
      <rPr>
        <sz val="10"/>
        <color theme="1"/>
        <rFont val="Times New Roman"/>
        <family val="1"/>
      </rPr>
      <t xml:space="preserve"> fees</t>
    </r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</si>
  <si>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</si>
  <si>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</si>
  <si>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</si>
  <si>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</si>
  <si>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</si>
  <si>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</si>
  <si>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</si>
  <si>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</si>
  <si>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</si>
  <si>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</si>
  <si>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</si>
  <si>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</si>
  <si>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</si>
  <si>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</si>
  <si>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</si>
  <si>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</si>
  <si>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</si>
  <si>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</si>
  <si>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</si>
  <si>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</si>
  <si>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</si>
  <si>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</si>
  <si>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</si>
  <si>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</si>
  <si>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</si>
  <si>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</si>
  <si>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</si>
  <si>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</si>
  <si>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</si>
  <si>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</si>
  <si>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</si>
  <si>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</si>
  <si>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</si>
  <si>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</si>
  <si>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</si>
  <si>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</si>
  <si>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</si>
  <si>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</si>
  <si>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</si>
  <si>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</si>
  <si>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</si>
  <si>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</si>
  <si>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</si>
  <si>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</si>
  <si>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</si>
  <si>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</si>
  <si>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</si>
  <si>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</si>
  <si>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</si>
  <si>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719000</t>
  </si>
  <si>
    <t>714120</t>
  </si>
  <si>
    <t>732140</t>
  </si>
  <si>
    <t>613000</t>
  </si>
  <si>
    <t>614250</t>
  </si>
  <si>
    <t>822100</t>
  </si>
  <si>
    <t>112</t>
  </si>
  <si>
    <t>723000</t>
  </si>
  <si>
    <t>822300</t>
  </si>
  <si>
    <t>815200; 823100; 823200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</si>
  <si>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</si>
  <si>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</si>
  <si>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</si>
  <si>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</si>
  <si>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</si>
  <si>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</si>
  <si>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</si>
  <si>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</si>
  <si>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</si>
  <si>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</si>
  <si>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</si>
  <si>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</si>
  <si>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</si>
  <si>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</si>
  <si>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</si>
  <si>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</si>
  <si>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</si>
  <si>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</si>
  <si>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</si>
  <si>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</si>
  <si>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</si>
  <si>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</si>
  <si>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</si>
  <si>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</si>
  <si>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</si>
  <si>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</si>
  <si>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</si>
  <si>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</si>
  <si>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</si>
  <si>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</si>
  <si>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</si>
  <si>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</si>
  <si>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</si>
  <si>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</si>
  <si>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</si>
  <si>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</si>
  <si>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</si>
  <si>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</si>
  <si>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</si>
  <si>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</si>
  <si>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</si>
  <si>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</si>
  <si>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</si>
  <si>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</si>
  <si>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</si>
  <si>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</si>
  <si>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</si>
  <si>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</si>
  <si>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</si>
  <si>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</si>
  <si>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</si>
  <si>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</si>
  <si>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</si>
  <si>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</si>
  <si>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</si>
  <si>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</si>
  <si>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</si>
  <si>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</si>
  <si>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</si>
  <si>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</si>
  <si>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</si>
  <si>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</si>
  <si>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</si>
  <si>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</si>
  <si>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</si>
  <si>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</si>
  <si>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</si>
  <si>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</si>
  <si>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</si>
  <si>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</si>
  <si>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r>
      <t>Naknade od korištenja GSM/UMTS</t>
    </r>
    <r>
      <rPr>
        <sz val="10"/>
        <color theme="1"/>
        <rFont val="Times New Roman"/>
        <family val="1"/>
      </rPr>
      <t xml:space="preserve"> licence</t>
    </r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</si>
  <si>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</si>
  <si>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</si>
  <si>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</si>
  <si>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</si>
  <si>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</si>
  <si>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</si>
  <si>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</si>
  <si>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</si>
  <si>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</si>
  <si>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</si>
  <si>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</si>
  <si>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</si>
  <si>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</si>
  <si>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</si>
  <si>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</si>
  <si>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815310, 823311</t>
  </si>
  <si>
    <t>814310, 823312, 823400</t>
  </si>
  <si>
    <t>815100, 823500</t>
  </si>
  <si>
    <t>814300, 814320, 814321, 814322, 814323, 814324, 814325, 815300, 815320, 815321, 815322, 815323, 815324, 815325</t>
  </si>
  <si>
    <t>823300, 823321, 823322, 823323, 823324, 823325</t>
  </si>
  <si>
    <t>823600</t>
  </si>
  <si>
    <t>814100, 814200, 815200, 823100, 823200</t>
  </si>
  <si>
    <t>614400, 614500, 614600</t>
  </si>
  <si>
    <t>821100, 821200, 821300, 821400, 821500, 821600</t>
  </si>
  <si>
    <t>811110, 811121, 811124, 811125, 811126, 811200, 811900</t>
  </si>
  <si>
    <t>713000, 713100</t>
  </si>
  <si>
    <t>712100, 712110, 712120, 712131, 712133, 712190</t>
  </si>
  <si>
    <t>721300, 721400</t>
  </si>
  <si>
    <t>721120, 721700, 722200, 722300, 722400, 722500, 722600, 722700</t>
  </si>
  <si>
    <t>721191, 722751</t>
  </si>
  <si>
    <t>777000, 733100, 733110, 733120</t>
  </si>
  <si>
    <t>611100, 611154, 611155, 611156, 611200, 611226</t>
  </si>
  <si>
    <t>612000, 611130</t>
  </si>
  <si>
    <t>616100, 616200, 613960</t>
  </si>
  <si>
    <t>611225, 611227, 611228, 611229</t>
  </si>
  <si>
    <t>716000, 711100</t>
  </si>
  <si>
    <t>711200, 711900</t>
  </si>
  <si>
    <t>714110, 714190, 714100</t>
  </si>
  <si>
    <t>721111, 721100</t>
  </si>
  <si>
    <t>614234, 614300, 614800</t>
  </si>
  <si>
    <t>822700, 813700</t>
  </si>
  <si>
    <t>714130, 715000, 717000, 721200, 722100</t>
  </si>
  <si>
    <t>732111, 742111</t>
  </si>
  <si>
    <t>732112, 742112</t>
  </si>
  <si>
    <t>732113, 742113</t>
  </si>
  <si>
    <t>732114, 742114</t>
  </si>
  <si>
    <t>732115, 732116, 742115, 742116</t>
  </si>
  <si>
    <t>732132, 732134</t>
  </si>
  <si>
    <t>732131, 732133</t>
  </si>
  <si>
    <t>732100, 732120, 732130, 742110, 742200</t>
  </si>
  <si>
    <t>741110, 741120</t>
  </si>
  <si>
    <t>616300, 616500</t>
  </si>
  <si>
    <t>614111, 615111</t>
  </si>
  <si>
    <t>614112, 615112</t>
  </si>
  <si>
    <t>614113, 615113</t>
  </si>
  <si>
    <t>614114, 615114</t>
  </si>
  <si>
    <t>614115, 614116, 615115, 615116</t>
  </si>
  <si>
    <t>614173, 614174, 615122, 615123</t>
  </si>
  <si>
    <t>614161, 614162</t>
  </si>
  <si>
    <t>6xxxxx</t>
  </si>
  <si>
    <t>614100, 614120, 614141, 614147, 614180, 615100, 615130</t>
  </si>
  <si>
    <t>614700, 615700</t>
  </si>
  <si>
    <t>614200, 614210, 614220, 614231, 614233
, 614235, 614243</t>
  </si>
  <si>
    <t>615200, 615300, 615400, 615500, 615600</t>
  </si>
  <si>
    <t>721192, 813100</t>
  </si>
  <si>
    <t>722731, 813200, 813300</t>
  </si>
  <si>
    <t>822600, 822611, 813600, 813611</t>
  </si>
  <si>
    <t>822200, 822612, 813612</t>
  </si>
  <si>
    <t>822400, 721612, 721613, 811122, 811123</t>
  </si>
  <si>
    <t>822500, 813400, 813500</t>
  </si>
  <si>
    <t>Tabela 2a:  Izgledi budžeta opšte vlade</t>
  </si>
  <si>
    <t>ESA kod</t>
  </si>
  <si>
    <t>Neto kreditiranje (B9) po pod-sektorima</t>
  </si>
  <si>
    <t>1. Šira vlada</t>
  </si>
  <si>
    <t>S13</t>
  </si>
  <si>
    <t>2. Centralna vlada</t>
  </si>
  <si>
    <t>S1311</t>
  </si>
  <si>
    <t>3. Državna vlada</t>
  </si>
  <si>
    <t>S1312</t>
  </si>
  <si>
    <t>4. Lokalna vlada</t>
  </si>
  <si>
    <t>S1313</t>
  </si>
  <si>
    <t>5. Fondovi za socijalnu</t>
  </si>
  <si>
    <t>S1314</t>
  </si>
  <si>
    <t>Šira vlada (S13)</t>
  </si>
  <si>
    <t>6. Ukupan prihod</t>
  </si>
  <si>
    <t>TR</t>
  </si>
  <si>
    <t>7. Ukupna potrošnja</t>
  </si>
  <si>
    <t>TE</t>
  </si>
  <si>
    <t>8. Neto zaduživanje/kreditiranje</t>
  </si>
  <si>
    <t>EDP.B9</t>
  </si>
  <si>
    <t>9. Izdaci po kamatama</t>
  </si>
  <si>
    <t>EDP.D41 uklj. FISIM</t>
  </si>
  <si>
    <t>p.m. 9a. FISIM</t>
  </si>
  <si>
    <t>NA</t>
  </si>
  <si>
    <t>10. Primarni bilans</t>
  </si>
  <si>
    <t>11. Jednokratne i druge privremene mjere</t>
  </si>
  <si>
    <t>Komponente prihoda</t>
  </si>
  <si>
    <t>12. Ukupan porez (12=12a+12b+12c)</t>
  </si>
  <si>
    <t>12a. Porez na proizvodnju i uvoz</t>
  </si>
  <si>
    <t>12b. Tekući porezi na prihod i bogatstvo</t>
  </si>
  <si>
    <t>12c. Porez na kapital</t>
  </si>
  <si>
    <t>D91</t>
  </si>
  <si>
    <t>D61</t>
  </si>
  <si>
    <t>13. Socijalni doprinosi</t>
  </si>
  <si>
    <t>14. Prihod od imovine</t>
  </si>
  <si>
    <t>D4</t>
  </si>
  <si>
    <t>15. Ostalo (15= 16-(12+13+14))</t>
  </si>
  <si>
    <t>16=6. Ukupan prihod</t>
  </si>
  <si>
    <t>p.m, Poresko opterećenje (D2+D5+D61+D91-D995)</t>
  </si>
  <si>
    <t>Odabrane komponente potrošnje</t>
  </si>
  <si>
    <t>P32</t>
  </si>
  <si>
    <t>17. Kolektivna potrošnja</t>
  </si>
  <si>
    <t>18. Ukupni socijalni transferi</t>
  </si>
  <si>
    <t>D62+D63</t>
  </si>
  <si>
    <t>D63</t>
  </si>
  <si>
    <t>18a. Nenovčani socijalni transferi</t>
  </si>
  <si>
    <t>P31=D63</t>
  </si>
  <si>
    <t>18b. Ostali socijalni transferi osim nenovčanih</t>
  </si>
  <si>
    <t>19=9. Izdaci po kamatama (uklj. FISIM)</t>
  </si>
  <si>
    <t>EDP.D41+Fisim</t>
  </si>
  <si>
    <t>20. Subvencije</t>
  </si>
  <si>
    <t>D3</t>
  </si>
  <si>
    <t>21. Investicije u stalna sredstva</t>
  </si>
  <si>
    <t>22. Ostalo 22=23-(17+18+19+20+21)</t>
  </si>
  <si>
    <t>23=7. Ukupna potrošnja</t>
  </si>
  <si>
    <t>p.m. Naknada zaposlenima u javnom sektoru</t>
  </si>
  <si>
    <t>D1</t>
  </si>
  <si>
    <t>napomene</t>
  </si>
  <si>
    <t xml:space="preserve">           Prilagođeno sljedećim swap - prilivima tako da je TR-TE = EDP.B9.</t>
  </si>
  <si>
    <t xml:space="preserve">      Primarni bilans se računa kao (EDP.B9, stavka 8) plus (EDP D41+FISIM evidentiran kao intermedijarna potrošnja, stavka 9).</t>
  </si>
  <si>
    <t xml:space="preserve">         Znak plus znači jednokratne mjere za smanjenje deficit</t>
  </si>
  <si>
    <t>                   P.11+P.12+P.131+D.39+D.7+D.9 (ali ne D.91).</t>
  </si>
  <si>
    <t>29       Uključujući one koje je prikupila EU i uključujući prilagođavanje za neprikupljene poreze i socijalne doprinose (D995),</t>
  </si>
  <si>
    <t xml:space="preserve"> ako je primjereno.</t>
  </si>
  <si>
    <t>Exchange rate gains or losses</t>
  </si>
  <si>
    <t>4222</t>
  </si>
  <si>
    <t>721500</t>
  </si>
  <si>
    <t>Kapitalni transferi  ( 82+85+93 )sabira i 742200</t>
  </si>
  <si>
    <t xml:space="preserve">Kapitalni transferi drugim nivoima vlasti   (r.br. 150) </t>
  </si>
  <si>
    <t>Porezi na plaću i radnu snagu (14=15)</t>
  </si>
  <si>
    <t>ESA</t>
  </si>
  <si>
    <t>022111</t>
  </si>
  <si>
    <t>AF.21</t>
  </si>
  <si>
    <t>AF.3</t>
  </si>
  <si>
    <t>AF.89</t>
  </si>
  <si>
    <t>AF.31</t>
  </si>
  <si>
    <t>Kratkoročne tekuće obaveze</t>
  </si>
  <si>
    <t>Obaveze prema radnicima</t>
  </si>
  <si>
    <t>Kratkorična razgraničenja</t>
  </si>
  <si>
    <t>Ostale dugoročne obaveze</t>
  </si>
  <si>
    <t>Dugoročna razgraničenja</t>
  </si>
  <si>
    <t xml:space="preserve">Gotovina, kratkoročna potraživanja 
i razgraničenja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</si>
  <si>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</si>
  <si>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</si>
  <si>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</si>
  <si>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</si>
  <si>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</si>
  <si>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</si>
  <si>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</si>
  <si>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</si>
  <si>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</si>
  <si>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</si>
  <si>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</si>
  <si>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</si>
  <si>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</si>
  <si>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</si>
  <si>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</si>
  <si>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2821</t>
  </si>
  <si>
    <t> AF.3</t>
  </si>
  <si>
    <t> 6213</t>
  </si>
  <si>
    <t> AF.8</t>
  </si>
  <si>
    <t> 6318</t>
  </si>
  <si>
    <t>  6318</t>
  </si>
  <si>
    <t>Financijski i obr. odnosi s drugim povezanim 
jedinicama</t>
  </si>
  <si>
    <t>Depoziti kod banaka</t>
  </si>
  <si>
    <t>Dugoročni depoziti</t>
  </si>
  <si>
    <t xml:space="preserve">Primljeni transferi od ostalih nivoa vlasti i fondova </t>
  </si>
  <si>
    <t>I Q 2024.</t>
  </si>
  <si>
    <t>Period izvještavanja: od 1.1.  do  31.3.2024. godine</t>
  </si>
  <si>
    <t xml:space="preserve">                                                                                 KONSOLIDIRANI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</si>
</sst>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[$$-1009]#,##0.00;\-[$$-1009]#,##0.00"/>
    <numFmt numFmtId="169" formatCode="General_)"/>
    <numFmt numFmtId="170" formatCode="_(* #,##0.0_);_(* \(#,##0.0\);_(* &quot;-&quot;??_);_(@_)"/>
    <numFmt numFmtId="171" formatCode="_-* #,##0.0_-;\-* #,##0.0_-;_-* &quot;-&quot;??_-;_-@_-"/>
  </numFmts>
  <fonts count="6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sz val="11"/>
      <name val="Arial"/>
      <family val="2"/>
      <charset val="238"/>
    </font>
    <font>
      <sz val="12"/>
      <name val="Helv"/>
    </font>
    <font>
      <sz val="10"/>
      <color indexed="8"/>
      <name val="Arial"/>
      <family val="2"/>
    </font>
    <font>
      <sz val="12"/>
      <color theme="4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Times New Roman"/>
      <family val="1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238"/>
    </font>
    <font>
      <sz val="12"/>
      <color theme="5"/>
      <name val="Calibri"/>
      <family val="2"/>
      <scheme val="minor"/>
    </font>
    <font>
      <b/>
      <sz val="14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9"/>
      <name val="Times New Roman"/>
      <family val="1"/>
      <charset val="134"/>
    </font>
    <font>
      <b/>
      <sz val="10"/>
      <name val="Arial"/>
      <family val="2"/>
      <charset val="134"/>
    </font>
    <font>
      <b/>
      <sz val="10"/>
      <name val="Arial"/>
      <family val="2"/>
      <charset val="238"/>
    </font>
    <font>
      <sz val="10"/>
      <color rgb="FFC00000"/>
      <name val="Arial"/>
      <family val="2"/>
    </font>
    <font>
      <sz val="10"/>
      <color rgb="FF0000FF"/>
      <name val="Arial"/>
      <family val="2"/>
    </font>
    <font>
      <sz val="9"/>
      <name val="Arial"/>
      <family val="2"/>
      <charset val="134"/>
    </font>
    <font>
      <b/>
      <sz val="10"/>
      <color rgb="FF0000FF"/>
      <name val="Arial"/>
      <family val="2"/>
    </font>
    <font>
      <sz val="10"/>
      <name val="Arial"/>
      <family val="2"/>
      <charset val="134"/>
    </font>
    <font>
      <b/>
      <sz val="12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B5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D7EA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EE0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auto="1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168" fontId="7" fillId="0" borderId="0"/>
    <xf numFmtId="168" fontId="10" fillId="0" borderId="0"/>
    <xf numFmtId="168" fontId="9" fillId="0" borderId="0"/>
    <xf numFmtId="168" fontId="12" fillId="0" borderId="0"/>
    <xf numFmtId="169" fontId="13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>
      <alignment vertical="center"/>
    </xf>
  </cellStyleXfs>
  <cellXfs count="392">
    <xf numFmtId="0" fontId="0" fillId="0" borderId="0" xfId="0"/>
    <xf numFmtId="0" fontId="0" fillId="2" borderId="0" xfId="0" applyFill="1"/>
    <xf numFmtId="0" fontId="42" fillId="0" borderId="0" xfId="12" applyFont="1" applyFill="1" applyAlignment="1">
      <alignment horizontal="left" vertical="top"/>
    </xf>
    <xf numFmtId="0" fontId="14" fillId="0" borderId="0" xfId="12" applyFont="1" applyFill="1" applyAlignment="1">
      <alignment horizontal="left" vertical="top"/>
    </xf>
    <xf numFmtId="49" fontId="0" fillId="2" borderId="0" xfId="0" applyNumberFormat="1" applyFill="1"/>
    <xf numFmtId="167" fontId="0" fillId="2" borderId="0" xfId="1" applyNumberFormat="1" applyFont="1" applyFill="1"/>
    <xf numFmtId="168" fontId="9" fillId="2" borderId="0" xfId="5" applyFont="1" applyFill="1" applyAlignment="1">
      <alignment horizontal="left" wrapText="1" indent="4"/>
    </xf>
    <xf numFmtId="168" fontId="8" fillId="2" borderId="0" xfId="5" applyFont="1" applyFill="1" applyBorder="1" applyAlignment="1">
      <alignment horizontal="left"/>
    </xf>
    <xf numFmtId="0" fontId="0" fillId="2" borderId="0" xfId="0" applyFill="1" applyAlignment="1">
      <alignment wrapText="1"/>
    </xf>
    <xf numFmtId="167" fontId="17" fillId="2" borderId="10" xfId="1" applyNumberFormat="1" applyFont="1" applyFill="1" applyBorder="1"/>
    <xf numFmtId="167" fontId="16" fillId="2" borderId="11" xfId="1" applyNumberFormat="1" applyFont="1" applyFill="1" applyBorder="1"/>
    <xf numFmtId="167" fontId="2" fillId="2" borderId="11" xfId="1" applyNumberFormat="1" applyFont="1" applyFill="1" applyBorder="1"/>
    <xf numFmtId="167" fontId="20" fillId="2" borderId="11" xfId="1" applyNumberFormat="1" applyFont="1" applyFill="1" applyBorder="1"/>
    <xf numFmtId="167" fontId="15" fillId="2" borderId="11" xfId="1" applyNumberFormat="1" applyFont="1" applyFill="1" applyBorder="1"/>
    <xf numFmtId="167" fontId="17" fillId="2" borderId="11" xfId="1" applyNumberFormat="1" applyFont="1" applyFill="1" applyBorder="1"/>
    <xf numFmtId="167" fontId="19" fillId="2" borderId="11" xfId="1" applyNumberFormat="1" applyFont="1" applyFill="1" applyBorder="1"/>
    <xf numFmtId="167" fontId="18" fillId="2" borderId="11" xfId="1" applyNumberFormat="1" applyFont="1" applyFill="1" applyBorder="1"/>
    <xf numFmtId="167" fontId="19" fillId="2" borderId="11" xfId="0" applyNumberFormat="1" applyFont="1" applyFill="1" applyBorder="1"/>
    <xf numFmtId="167" fontId="15" fillId="2" borderId="11" xfId="0" applyNumberFormat="1" applyFont="1" applyFill="1" applyBorder="1"/>
    <xf numFmtId="0" fontId="0" fillId="5" borderId="1" xfId="0" applyFill="1" applyBorder="1"/>
    <xf numFmtId="49" fontId="0" fillId="3" borderId="2" xfId="0" applyNumberFormat="1" applyFill="1" applyBorder="1"/>
    <xf numFmtId="0" fontId="0" fillId="3" borderId="2" xfId="0" applyFill="1" applyBorder="1"/>
    <xf numFmtId="168" fontId="8" fillId="4" borderId="12" xfId="5" applyFont="1" applyFill="1" applyBorder="1"/>
    <xf numFmtId="0" fontId="0" fillId="5" borderId="3" xfId="0" applyFill="1" applyBorder="1"/>
    <xf numFmtId="49" fontId="0" fillId="3" borderId="0" xfId="0" applyNumberFormat="1" applyFill="1" applyBorder="1"/>
    <xf numFmtId="0" fontId="0" fillId="3" borderId="0" xfId="0" applyFill="1" applyBorder="1"/>
    <xf numFmtId="168" fontId="9" fillId="4" borderId="13" xfId="5" applyFont="1" applyFill="1" applyBorder="1" applyAlignment="1">
      <alignment horizontal="left" indent="2"/>
    </xf>
    <xf numFmtId="168" fontId="9" fillId="4" borderId="13" xfId="5" applyFont="1" applyFill="1" applyBorder="1" applyAlignment="1">
      <alignment horizontal="left" indent="4"/>
    </xf>
    <xf numFmtId="168" fontId="9" fillId="4" borderId="13" xfId="5" applyFont="1" applyFill="1" applyBorder="1" applyAlignment="1">
      <alignment horizontal="left" indent="6"/>
    </xf>
    <xf numFmtId="168" fontId="7" fillId="4" borderId="13" xfId="5" applyFont="1" applyFill="1" applyBorder="1" applyAlignment="1">
      <alignment horizontal="left" indent="6"/>
    </xf>
    <xf numFmtId="168" fontId="9" fillId="4" borderId="13" xfId="5" applyFont="1" applyFill="1" applyBorder="1" applyAlignment="1">
      <alignment horizontal="left" indent="5"/>
    </xf>
    <xf numFmtId="168" fontId="9" fillId="4" borderId="13" xfId="5" applyFont="1" applyFill="1" applyBorder="1" applyAlignment="1">
      <alignment horizontal="left" indent="8"/>
    </xf>
    <xf numFmtId="168" fontId="9" fillId="4" borderId="13" xfId="5" applyFont="1" applyFill="1" applyBorder="1" applyAlignment="1">
      <alignment horizontal="left" wrapText="1" indent="2"/>
    </xf>
    <xf numFmtId="168" fontId="9" fillId="4" borderId="13" xfId="5" applyFont="1" applyFill="1" applyBorder="1" applyAlignment="1">
      <alignment horizontal="left" wrapText="1" indent="4"/>
    </xf>
    <xf numFmtId="168" fontId="9" fillId="4" borderId="13" xfId="5" applyFont="1" applyFill="1" applyBorder="1" applyAlignment="1">
      <alignment horizontal="left" wrapText="1" indent="6"/>
    </xf>
    <xf numFmtId="168" fontId="9" fillId="4" borderId="13" xfId="5" applyFont="1" applyFill="1" applyBorder="1" applyAlignment="1">
      <alignment horizontal="left" vertical="top" wrapText="1" indent="6"/>
    </xf>
    <xf numFmtId="168" fontId="9" fillId="4" borderId="13" xfId="6" applyFont="1" applyFill="1" applyBorder="1" applyAlignment="1">
      <alignment horizontal="left" wrapText="1" indent="2"/>
    </xf>
    <xf numFmtId="168" fontId="9" fillId="4" borderId="13" xfId="7" applyFont="1" applyFill="1" applyBorder="1" applyAlignment="1">
      <alignment horizontal="left" indent="4"/>
    </xf>
    <xf numFmtId="168" fontId="9" fillId="4" borderId="13" xfId="7" applyFont="1" applyFill="1" applyBorder="1" applyAlignment="1">
      <alignment horizontal="left" indent="6"/>
    </xf>
    <xf numFmtId="168" fontId="9" fillId="4" borderId="13" xfId="5" applyFont="1" applyFill="1" applyBorder="1" applyAlignment="1">
      <alignment horizontal="left" vertical="top" wrapText="1" indent="4"/>
    </xf>
    <xf numFmtId="168" fontId="7" fillId="4" borderId="13" xfId="5" applyFont="1" applyFill="1" applyBorder="1" applyAlignment="1">
      <alignment horizontal="left" indent="4"/>
    </xf>
    <xf numFmtId="168" fontId="9" fillId="4" borderId="13" xfId="5" applyFont="1" applyFill="1" applyBorder="1"/>
    <xf numFmtId="168" fontId="8" fillId="4" borderId="13" xfId="5" applyFont="1" applyFill="1" applyBorder="1" applyAlignment="1">
      <alignment horizontal="left" indent="2"/>
    </xf>
    <xf numFmtId="49" fontId="0" fillId="3" borderId="0" xfId="0" quotePrefix="1" applyNumberFormat="1" applyFill="1" applyBorder="1"/>
    <xf numFmtId="168" fontId="9" fillId="4" borderId="13" xfId="7" applyFont="1" applyFill="1" applyBorder="1" applyAlignment="1">
      <alignment horizontal="left" wrapText="1" indent="6"/>
    </xf>
    <xf numFmtId="168" fontId="9" fillId="4" borderId="13" xfId="5" applyFont="1" applyFill="1" applyBorder="1" applyAlignment="1">
      <alignment horizontal="left" vertical="top" wrapText="1" indent="8"/>
    </xf>
    <xf numFmtId="168" fontId="9" fillId="4" borderId="13" xfId="6" applyFont="1" applyFill="1" applyBorder="1" applyAlignment="1">
      <alignment horizontal="left" wrapText="1" indent="5"/>
    </xf>
    <xf numFmtId="168" fontId="9" fillId="4" borderId="13" xfId="7" applyFont="1" applyFill="1" applyBorder="1" applyAlignment="1">
      <alignment horizontal="left" indent="8"/>
    </xf>
    <xf numFmtId="168" fontId="9" fillId="4" borderId="13" xfId="8" applyFont="1" applyFill="1" applyBorder="1" applyAlignment="1">
      <alignment horizontal="left" vertical="top" wrapText="1" indent="8"/>
    </xf>
    <xf numFmtId="169" fontId="9" fillId="4" borderId="13" xfId="9" applyFont="1" applyFill="1" applyBorder="1" applyAlignment="1">
      <alignment horizontal="left" indent="6"/>
    </xf>
    <xf numFmtId="169" fontId="9" fillId="4" borderId="13" xfId="9" applyFont="1" applyFill="1" applyBorder="1" applyAlignment="1">
      <alignment horizontal="left" indent="8"/>
    </xf>
    <xf numFmtId="168" fontId="8" fillId="4" borderId="13" xfId="8" applyFont="1" applyFill="1" applyBorder="1" applyAlignment="1"/>
    <xf numFmtId="168" fontId="8" fillId="4" borderId="13" xfId="5" applyFont="1" applyFill="1" applyBorder="1" applyAlignment="1"/>
    <xf numFmtId="168" fontId="8" fillId="4" borderId="13" xfId="0" applyNumberFormat="1" applyFont="1" applyFill="1" applyBorder="1"/>
    <xf numFmtId="168" fontId="9" fillId="4" borderId="13" xfId="0" applyNumberFormat="1" applyFont="1" applyFill="1" applyBorder="1" applyAlignment="1">
      <alignment horizontal="left" indent="2"/>
    </xf>
    <xf numFmtId="168" fontId="9" fillId="4" borderId="13" xfId="5" applyFont="1" applyFill="1" applyBorder="1" applyAlignment="1">
      <alignment horizontal="left" vertical="top" wrapText="1" indent="10"/>
    </xf>
    <xf numFmtId="168" fontId="9" fillId="4" borderId="13" xfId="5" applyFont="1" applyFill="1" applyBorder="1" applyAlignment="1">
      <alignment horizontal="left" indent="10"/>
    </xf>
    <xf numFmtId="168" fontId="9" fillId="4" borderId="13" xfId="6" applyFont="1" applyFill="1" applyBorder="1" applyAlignment="1">
      <alignment horizontal="left" indent="4"/>
    </xf>
    <xf numFmtId="0" fontId="0" fillId="5" borderId="4" xfId="0" applyFill="1" applyBorder="1"/>
    <xf numFmtId="49" fontId="0" fillId="3" borderId="5" xfId="0" applyNumberFormat="1" applyFill="1" applyBorder="1"/>
    <xf numFmtId="0" fontId="0" fillId="3" borderId="5" xfId="0" applyFill="1" applyBorder="1"/>
    <xf numFmtId="168" fontId="9" fillId="4" borderId="14" xfId="5" applyFont="1" applyFill="1" applyBorder="1" applyAlignment="1">
      <alignment horizontal="left" wrapText="1" indent="4"/>
    </xf>
    <xf numFmtId="0" fontId="0" fillId="2" borderId="2" xfId="0" applyFill="1" applyBorder="1"/>
    <xf numFmtId="0" fontId="0" fillId="5" borderId="16" xfId="0" applyFill="1" applyBorder="1"/>
    <xf numFmtId="49" fontId="0" fillId="3" borderId="17" xfId="0" applyNumberFormat="1" applyFill="1" applyBorder="1"/>
    <xf numFmtId="0" fontId="0" fillId="3" borderId="17" xfId="0" applyFill="1" applyBorder="1"/>
    <xf numFmtId="168" fontId="8" fillId="4" borderId="18" xfId="5" applyFont="1" applyFill="1" applyBorder="1"/>
    <xf numFmtId="167" fontId="17" fillId="2" borderId="15" xfId="1" applyNumberFormat="1" applyFont="1" applyFill="1" applyBorder="1"/>
    <xf numFmtId="168" fontId="8" fillId="4" borderId="18" xfId="5" applyFont="1" applyFill="1" applyBorder="1" applyAlignment="1">
      <alignment horizontal="left" indent="2"/>
    </xf>
    <xf numFmtId="167" fontId="16" fillId="2" borderId="15" xfId="1" applyNumberFormat="1" applyFont="1" applyFill="1" applyBorder="1"/>
    <xf numFmtId="49" fontId="0" fillId="3" borderId="20" xfId="0" applyNumberFormat="1" applyFill="1" applyBorder="1"/>
    <xf numFmtId="0" fontId="0" fillId="3" borderId="20" xfId="0" applyFill="1" applyBorder="1"/>
    <xf numFmtId="168" fontId="9" fillId="4" borderId="21" xfId="6" applyFont="1" applyFill="1" applyBorder="1" applyAlignment="1">
      <alignment horizontal="left" indent="6"/>
    </xf>
    <xf numFmtId="167" fontId="2" fillId="2" borderId="22" xfId="1" applyNumberFormat="1" applyFont="1" applyFill="1" applyBorder="1"/>
    <xf numFmtId="49" fontId="0" fillId="3" borderId="24" xfId="0" applyNumberFormat="1" applyFill="1" applyBorder="1"/>
    <xf numFmtId="0" fontId="0" fillId="3" borderId="24" xfId="0" applyFill="1" applyBorder="1"/>
    <xf numFmtId="168" fontId="8" fillId="4" borderId="25" xfId="5" applyFont="1" applyFill="1" applyBorder="1"/>
    <xf numFmtId="167" fontId="2" fillId="2" borderId="26" xfId="1" applyNumberFormat="1" applyFont="1" applyFill="1" applyBorder="1"/>
    <xf numFmtId="167" fontId="19" fillId="2" borderId="15" xfId="0" applyNumberFormat="1" applyFont="1" applyFill="1" applyBorder="1"/>
    <xf numFmtId="167" fontId="43" fillId="2" borderId="11" xfId="1" applyNumberFormat="1" applyFont="1" applyFill="1" applyBorder="1"/>
    <xf numFmtId="0" fontId="0" fillId="2" borderId="19" xfId="0" applyFill="1" applyBorder="1"/>
    <xf numFmtId="0" fontId="0" fillId="2" borderId="3" xfId="0" applyFill="1" applyBorder="1"/>
    <xf numFmtId="0" fontId="0" fillId="2" borderId="23" xfId="0" applyFill="1" applyBorder="1"/>
    <xf numFmtId="167" fontId="0" fillId="9" borderId="8" xfId="0" applyNumberFormat="1" applyFill="1" applyBorder="1"/>
    <xf numFmtId="167" fontId="17" fillId="9" borderId="8" xfId="1" applyNumberFormat="1" applyFont="1" applyFill="1" applyBorder="1"/>
    <xf numFmtId="168" fontId="8" fillId="10" borderId="2" xfId="5" applyFont="1" applyFill="1" applyBorder="1"/>
    <xf numFmtId="168" fontId="9" fillId="10" borderId="0" xfId="5" applyFont="1" applyFill="1" applyBorder="1" applyAlignment="1">
      <alignment horizontal="left" indent="2"/>
    </xf>
    <xf numFmtId="168" fontId="9" fillId="10" borderId="0" xfId="5" applyFont="1" applyFill="1" applyBorder="1" applyAlignment="1">
      <alignment horizontal="left" indent="4"/>
    </xf>
    <xf numFmtId="168" fontId="9" fillId="10" borderId="0" xfId="5" applyFont="1" applyFill="1" applyBorder="1" applyAlignment="1">
      <alignment horizontal="left" indent="6"/>
    </xf>
    <xf numFmtId="168" fontId="9" fillId="10" borderId="0" xfId="5" applyFont="1" applyFill="1" applyBorder="1" applyAlignment="1">
      <alignment horizontal="left" indent="8"/>
    </xf>
    <xf numFmtId="168" fontId="9" fillId="10" borderId="0" xfId="5" applyFont="1" applyFill="1" applyBorder="1" applyAlignment="1">
      <alignment horizontal="left" wrapText="1" indent="4"/>
    </xf>
    <xf numFmtId="168" fontId="9" fillId="10" borderId="0" xfId="5" applyFont="1" applyFill="1" applyBorder="1" applyAlignment="1">
      <alignment horizontal="left" wrapText="1" indent="6"/>
    </xf>
    <xf numFmtId="168" fontId="9" fillId="10" borderId="0" xfId="6" applyFont="1" applyFill="1" applyBorder="1" applyAlignment="1">
      <alignment horizontal="left" wrapText="1" indent="2"/>
    </xf>
    <xf numFmtId="168" fontId="9" fillId="10" borderId="0" xfId="7" applyFont="1" applyFill="1" applyBorder="1" applyAlignment="1">
      <alignment horizontal="left" indent="4"/>
    </xf>
    <xf numFmtId="168" fontId="9" fillId="10" borderId="0" xfId="7" applyFont="1" applyFill="1" applyBorder="1" applyAlignment="1">
      <alignment horizontal="left" indent="6"/>
    </xf>
    <xf numFmtId="168" fontId="9" fillId="10" borderId="0" xfId="5" applyFont="1" applyFill="1" applyBorder="1" applyAlignment="1">
      <alignment horizontal="left" vertical="top" wrapText="1" indent="4"/>
    </xf>
    <xf numFmtId="168" fontId="9" fillId="10" borderId="0" xfId="5" applyFont="1" applyFill="1" applyBorder="1"/>
    <xf numFmtId="168" fontId="8" fillId="10" borderId="17" xfId="5" applyFont="1" applyFill="1" applyBorder="1"/>
    <xf numFmtId="168" fontId="8" fillId="10" borderId="0" xfId="5" applyFont="1" applyFill="1" applyBorder="1" applyAlignment="1">
      <alignment horizontal="left" indent="2"/>
    </xf>
    <xf numFmtId="49" fontId="9" fillId="10" borderId="0" xfId="7" applyNumberFormat="1" applyFont="1" applyFill="1" applyBorder="1" applyAlignment="1">
      <alignment horizontal="left" wrapText="1" indent="6"/>
    </xf>
    <xf numFmtId="168" fontId="9" fillId="10" borderId="0" xfId="5" applyFont="1" applyFill="1" applyBorder="1" applyAlignment="1">
      <alignment horizontal="left" wrapText="1" indent="8"/>
    </xf>
    <xf numFmtId="168" fontId="9" fillId="10" borderId="0" xfId="5" applyFont="1" applyFill="1" applyBorder="1" applyAlignment="1">
      <alignment horizontal="left" vertical="top" wrapText="1" indent="8"/>
    </xf>
    <xf numFmtId="168" fontId="9" fillId="10" borderId="0" xfId="7" applyFont="1" applyFill="1" applyBorder="1" applyAlignment="1">
      <alignment horizontal="left" indent="8"/>
    </xf>
    <xf numFmtId="168" fontId="9" fillId="10" borderId="0" xfId="5" applyFont="1" applyFill="1" applyBorder="1" applyAlignment="1">
      <alignment horizontal="left" indent="3"/>
    </xf>
    <xf numFmtId="168" fontId="9" fillId="10" borderId="0" xfId="5" applyFont="1" applyFill="1" applyBorder="1" applyAlignment="1">
      <alignment horizontal="left" vertical="top" wrapText="1" indent="6"/>
    </xf>
    <xf numFmtId="168" fontId="9" fillId="10" borderId="0" xfId="5" applyFont="1" applyFill="1" applyBorder="1" applyAlignment="1">
      <alignment horizontal="left" indent="5"/>
    </xf>
    <xf numFmtId="168" fontId="9" fillId="10" borderId="0" xfId="6" applyFont="1" applyFill="1" applyBorder="1" applyAlignment="1">
      <alignment horizontal="left" wrapText="1" indent="5"/>
    </xf>
    <xf numFmtId="168" fontId="8" fillId="10" borderId="17" xfId="5" applyFont="1" applyFill="1" applyBorder="1" applyAlignment="1">
      <alignment horizontal="left" indent="2"/>
    </xf>
    <xf numFmtId="169" fontId="9" fillId="10" borderId="0" xfId="9" applyFont="1" applyFill="1" applyBorder="1" applyAlignment="1">
      <alignment horizontal="left" indent="6"/>
    </xf>
    <xf numFmtId="169" fontId="9" fillId="10" borderId="0" xfId="9" applyFont="1" applyFill="1" applyBorder="1" applyAlignment="1">
      <alignment horizontal="left" indent="8"/>
    </xf>
    <xf numFmtId="168" fontId="9" fillId="10" borderId="20" xfId="6" applyFont="1" applyFill="1" applyBorder="1" applyAlignment="1">
      <alignment horizontal="left" indent="6"/>
    </xf>
    <xf numFmtId="168" fontId="8" fillId="10" borderId="0" xfId="8" applyFont="1" applyFill="1" applyBorder="1" applyAlignment="1">
      <alignment horizontal="left"/>
    </xf>
    <xf numFmtId="168" fontId="8" fillId="10" borderId="0" xfId="5" applyFont="1" applyFill="1" applyBorder="1" applyAlignment="1"/>
    <xf numFmtId="168" fontId="8" fillId="10" borderId="24" xfId="5" applyFont="1" applyFill="1" applyBorder="1"/>
    <xf numFmtId="168" fontId="8" fillId="10" borderId="0" xfId="5" applyFont="1" applyFill="1" applyBorder="1"/>
    <xf numFmtId="168" fontId="9" fillId="10" borderId="0" xfId="5" applyFont="1" applyFill="1" applyBorder="1" applyAlignment="1">
      <alignment horizontal="left" vertical="top" wrapText="1" indent="10"/>
    </xf>
    <xf numFmtId="168" fontId="9" fillId="10" borderId="0" xfId="5" applyFont="1" applyFill="1" applyBorder="1" applyAlignment="1">
      <alignment horizontal="left" indent="10"/>
    </xf>
    <xf numFmtId="168" fontId="9" fillId="10" borderId="0" xfId="5" applyFont="1" applyFill="1" applyBorder="1" applyAlignment="1">
      <alignment horizontal="left" wrapText="1" indent="10"/>
    </xf>
    <xf numFmtId="168" fontId="9" fillId="10" borderId="0" xfId="6" applyFont="1" applyFill="1" applyBorder="1" applyAlignment="1">
      <alignment horizontal="left" indent="6"/>
    </xf>
    <xf numFmtId="168" fontId="9" fillId="10" borderId="0" xfId="5" applyFont="1" applyFill="1" applyBorder="1" applyAlignment="1">
      <alignment horizontal="left" vertical="top" indent="6"/>
    </xf>
    <xf numFmtId="168" fontId="9" fillId="10" borderId="5" xfId="5" applyFont="1" applyFill="1" applyBorder="1" applyAlignment="1">
      <alignment horizontal="left" wrapText="1" indent="4"/>
    </xf>
    <xf numFmtId="0" fontId="29" fillId="2" borderId="8" xfId="14" applyFont="1" applyFill="1" applyBorder="1" applyAlignment="1">
      <alignment horizontal="center" vertical="center" wrapText="1"/>
    </xf>
    <xf numFmtId="0" fontId="30" fillId="2" borderId="8" xfId="14" applyFont="1" applyFill="1" applyBorder="1" applyAlignment="1">
      <alignment vertical="top"/>
    </xf>
    <xf numFmtId="0" fontId="29" fillId="2" borderId="8" xfId="14" applyFont="1" applyFill="1" applyBorder="1" applyAlignment="1">
      <alignment horizontal="center" vertical="center"/>
    </xf>
    <xf numFmtId="0" fontId="22" fillId="2" borderId="8" xfId="14" applyFont="1" applyFill="1" applyBorder="1" applyAlignment="1">
      <alignment horizontal="center" vertical="center"/>
    </xf>
    <xf numFmtId="0" fontId="22" fillId="2" borderId="9" xfId="14" applyFont="1" applyFill="1" applyBorder="1" applyAlignment="1">
      <alignment horizontal="center" vertical="center"/>
    </xf>
    <xf numFmtId="0" fontId="22" fillId="2" borderId="10" xfId="14" applyFont="1" applyFill="1" applyBorder="1" applyAlignment="1">
      <alignment horizontal="center" vertical="center"/>
    </xf>
    <xf numFmtId="49" fontId="9" fillId="0" borderId="0" xfId="14" applyNumberFormat="1" applyFont="1" applyAlignment="1">
      <alignment vertical="top"/>
    </xf>
    <xf numFmtId="0" fontId="8" fillId="0" borderId="0" xfId="14" applyFont="1" applyAlignment="1">
      <alignment horizontal="left" vertical="top"/>
    </xf>
    <xf numFmtId="0" fontId="9" fillId="0" borderId="0" xfId="14" applyFont="1" applyAlignment="1">
      <alignment vertical="top"/>
    </xf>
    <xf numFmtId="0" fontId="22" fillId="0" borderId="0" xfId="14" applyFont="1" applyAlignment="1">
      <alignment vertical="top"/>
    </xf>
    <xf numFmtId="0" fontId="9" fillId="0" borderId="0" xfId="14" applyFont="1" applyBorder="1" applyAlignment="1">
      <alignment vertical="top"/>
    </xf>
    <xf numFmtId="0" fontId="23" fillId="0" borderId="0" xfId="14" applyFont="1" applyBorder="1" applyAlignment="1">
      <alignment horizontal="center" vertical="top"/>
    </xf>
    <xf numFmtId="0" fontId="23" fillId="0" borderId="0" xfId="14" applyFont="1" applyBorder="1" applyAlignment="1">
      <alignment horizontal="left" vertical="top"/>
    </xf>
    <xf numFmtId="0" fontId="24" fillId="0" borderId="0" xfId="14" applyFont="1" applyAlignment="1">
      <alignment horizontal="left" vertical="top"/>
    </xf>
    <xf numFmtId="0" fontId="8" fillId="0" borderId="0" xfId="14" applyFont="1" applyBorder="1" applyAlignment="1">
      <alignment horizontal="left" vertical="top"/>
    </xf>
    <xf numFmtId="0" fontId="8" fillId="0" borderId="0" xfId="14" applyFont="1" applyBorder="1" applyAlignment="1">
      <alignment horizontal="center" vertical="top"/>
    </xf>
    <xf numFmtId="0" fontId="8" fillId="0" borderId="0" xfId="14" applyFont="1" applyAlignment="1">
      <alignment horizontal="center" vertical="top"/>
    </xf>
    <xf numFmtId="0" fontId="24" fillId="0" borderId="0" xfId="14" applyFont="1" applyBorder="1" applyAlignment="1">
      <alignment horizontal="left" vertical="top"/>
    </xf>
    <xf numFmtId="0" fontId="25" fillId="0" borderId="0" xfId="14" applyFont="1" applyFill="1" applyAlignment="1">
      <alignment horizontal="center" vertical="top"/>
    </xf>
    <xf numFmtId="0" fontId="9" fillId="0" borderId="0" xfId="14" applyFont="1" applyFill="1" applyAlignment="1">
      <alignment horizontal="center" vertical="top"/>
    </xf>
    <xf numFmtId="49" fontId="4" fillId="0" borderId="0" xfId="14" applyNumberFormat="1" applyFont="1" applyAlignment="1">
      <alignment vertical="top"/>
    </xf>
    <xf numFmtId="0" fontId="4" fillId="0" borderId="0" xfId="14" applyFont="1" applyAlignment="1">
      <alignment horizontal="center" vertical="top"/>
    </xf>
    <xf numFmtId="0" fontId="4" fillId="0" borderId="0" xfId="14" applyFont="1" applyAlignment="1">
      <alignment vertical="top"/>
    </xf>
    <xf numFmtId="0" fontId="29" fillId="0" borderId="8" xfId="14" applyFont="1" applyFill="1" applyBorder="1" applyAlignment="1">
      <alignment horizontal="center" vertical="center" wrapText="1"/>
    </xf>
    <xf numFmtId="0" fontId="29" fillId="0" borderId="8" xfId="14" applyFont="1" applyFill="1" applyBorder="1" applyAlignment="1">
      <alignment horizontal="center" vertical="center"/>
    </xf>
    <xf numFmtId="0" fontId="29" fillId="0" borderId="8" xfId="14" applyFont="1" applyBorder="1" applyAlignment="1">
      <alignment horizontal="center" vertical="center" wrapText="1"/>
    </xf>
    <xf numFmtId="0" fontId="30" fillId="0" borderId="8" xfId="14" applyFont="1" applyFill="1" applyBorder="1" applyAlignment="1">
      <alignment vertical="top"/>
    </xf>
    <xf numFmtId="0" fontId="30" fillId="2" borderId="8" xfId="14" applyFont="1" applyFill="1" applyBorder="1" applyAlignment="1">
      <alignment horizontal="center" vertical="top"/>
    </xf>
    <xf numFmtId="0" fontId="30" fillId="0" borderId="8" xfId="14" applyFont="1" applyFill="1" applyBorder="1" applyAlignment="1">
      <alignment horizontal="center" vertical="top" wrapText="1"/>
    </xf>
    <xf numFmtId="0" fontId="30" fillId="0" borderId="8" xfId="14" applyFont="1" applyFill="1" applyBorder="1" applyAlignment="1">
      <alignment horizontal="center" vertical="top"/>
    </xf>
    <xf numFmtId="0" fontId="29" fillId="0" borderId="8" xfId="14" applyFont="1" applyBorder="1" applyAlignment="1">
      <alignment horizontal="center" vertical="top"/>
    </xf>
    <xf numFmtId="0" fontId="29" fillId="2" borderId="8" xfId="11" applyFont="1" applyFill="1" applyBorder="1" applyAlignment="1">
      <alignment horizontal="center" vertical="center"/>
    </xf>
    <xf numFmtId="0" fontId="23" fillId="6" borderId="8" xfId="11" applyFont="1" applyFill="1" applyBorder="1" applyAlignment="1">
      <alignment horizontal="left" vertical="center" wrapText="1"/>
    </xf>
    <xf numFmtId="0" fontId="29" fillId="6" borderId="6" xfId="14" applyFont="1" applyFill="1" applyBorder="1" applyAlignment="1">
      <alignment horizontal="left" vertical="center" wrapText="1"/>
    </xf>
    <xf numFmtId="3" fontId="9" fillId="0" borderId="0" xfId="14" applyNumberFormat="1" applyFont="1" applyAlignment="1">
      <alignment vertical="top"/>
    </xf>
    <xf numFmtId="0" fontId="22" fillId="0" borderId="8" xfId="14" applyFont="1" applyFill="1" applyBorder="1" applyAlignment="1">
      <alignment horizontal="center" vertical="top"/>
    </xf>
    <xf numFmtId="0" fontId="29" fillId="0" borderId="6" xfId="14" applyFont="1" applyFill="1" applyBorder="1" applyAlignment="1">
      <alignment horizontal="left" vertical="center" wrapText="1"/>
    </xf>
    <xf numFmtId="0" fontId="9" fillId="0" borderId="0" xfId="14" applyFont="1" applyFill="1" applyAlignment="1">
      <alignment vertical="top"/>
    </xf>
    <xf numFmtId="0" fontId="35" fillId="0" borderId="7" xfId="14" applyFont="1" applyFill="1" applyBorder="1" applyAlignment="1">
      <alignment horizontal="left" vertical="center" wrapText="1"/>
    </xf>
    <xf numFmtId="0" fontId="22" fillId="0" borderId="0" xfId="14" applyFont="1" applyFill="1" applyBorder="1" applyAlignment="1">
      <alignment horizontal="center" vertical="top" wrapText="1"/>
    </xf>
    <xf numFmtId="0" fontId="22" fillId="0" borderId="0" xfId="14" applyFont="1" applyFill="1" applyBorder="1" applyAlignment="1">
      <alignment horizontal="left" vertical="top" wrapText="1"/>
    </xf>
    <xf numFmtId="0" fontId="26" fillId="2" borderId="8" xfId="14" applyFont="1" applyFill="1" applyBorder="1" applyAlignment="1">
      <alignment horizontal="center" vertical="center"/>
    </xf>
    <xf numFmtId="0" fontId="26" fillId="2" borderId="8" xfId="11" applyNumberFormat="1" applyFont="1" applyFill="1" applyBorder="1" applyAlignment="1">
      <alignment horizontal="center" vertical="center"/>
    </xf>
    <xf numFmtId="0" fontId="26" fillId="0" borderId="0" xfId="11" applyNumberFormat="1" applyFont="1" applyFill="1" applyBorder="1" applyAlignment="1">
      <alignment horizontal="center" vertical="top"/>
    </xf>
    <xf numFmtId="0" fontId="22" fillId="0" borderId="0" xfId="11" applyFont="1" applyFill="1" applyBorder="1" applyAlignment="1">
      <alignment horizontal="center" vertical="top" wrapText="1"/>
    </xf>
    <xf numFmtId="0" fontId="35" fillId="0" borderId="0" xfId="11" applyFont="1" applyFill="1" applyBorder="1" applyAlignment="1">
      <alignment horizontal="left" vertical="top" wrapText="1"/>
    </xf>
    <xf numFmtId="0" fontId="29" fillId="2" borderId="8" xfId="11" applyNumberFormat="1" applyFont="1" applyFill="1" applyBorder="1" applyAlignment="1">
      <alignment horizontal="center" vertical="center"/>
    </xf>
    <xf numFmtId="0" fontId="26" fillId="2" borderId="9" xfId="11" applyNumberFormat="1" applyFont="1" applyFill="1" applyBorder="1" applyAlignment="1">
      <alignment horizontal="center" vertical="center"/>
    </xf>
    <xf numFmtId="3" fontId="9" fillId="0" borderId="0" xfId="14" applyNumberFormat="1" applyFont="1" applyFill="1" applyAlignment="1">
      <alignment vertical="top"/>
    </xf>
    <xf numFmtId="0" fontId="8" fillId="0" borderId="0" xfId="14" applyFont="1" applyFill="1" applyAlignment="1">
      <alignment vertical="top"/>
    </xf>
    <xf numFmtId="0" fontId="22" fillId="2" borderId="8" xfId="11" applyNumberFormat="1" applyFont="1" applyFill="1" applyBorder="1" applyAlignment="1">
      <alignment horizontal="center" vertical="center"/>
    </xf>
    <xf numFmtId="0" fontId="29" fillId="0" borderId="8" xfId="11" applyFont="1" applyFill="1" applyBorder="1" applyAlignment="1">
      <alignment horizontal="center" vertical="center" wrapText="1"/>
    </xf>
    <xf numFmtId="0" fontId="29" fillId="0" borderId="7" xfId="11" applyFont="1" applyFill="1" applyBorder="1" applyAlignment="1">
      <alignment horizontal="left" vertical="center" wrapText="1"/>
    </xf>
    <xf numFmtId="49" fontId="22" fillId="0" borderId="0" xfId="14" applyNumberFormat="1" applyFont="1" applyAlignment="1">
      <alignment vertical="top"/>
    </xf>
    <xf numFmtId="0" fontId="22" fillId="2" borderId="8" xfId="14" applyFont="1" applyFill="1" applyBorder="1" applyAlignment="1">
      <alignment horizontal="center" vertical="center" wrapText="1"/>
    </xf>
    <xf numFmtId="0" fontId="29" fillId="2" borderId="8" xfId="11" applyNumberFormat="1" applyFont="1" applyFill="1" applyBorder="1" applyAlignment="1">
      <alignment horizontal="center" vertical="center" wrapText="1"/>
    </xf>
    <xf numFmtId="0" fontId="22" fillId="0" borderId="0" xfId="14" applyFont="1" applyAlignment="1">
      <alignment vertical="top" wrapText="1"/>
    </xf>
    <xf numFmtId="0" fontId="26" fillId="2" borderId="10" xfId="11" applyNumberFormat="1" applyFont="1" applyFill="1" applyBorder="1" applyAlignment="1">
      <alignment horizontal="center" vertical="center"/>
    </xf>
    <xf numFmtId="0" fontId="29" fillId="0" borderId="0" xfId="14" applyFont="1" applyAlignment="1">
      <alignment vertical="top"/>
    </xf>
    <xf numFmtId="0" fontId="29" fillId="6" borderId="6" xfId="11" applyFont="1" applyFill="1" applyBorder="1" applyAlignment="1">
      <alignment horizontal="left" vertical="center" wrapText="1"/>
    </xf>
    <xf numFmtId="0" fontId="26" fillId="2" borderId="8" xfId="11" applyFont="1" applyFill="1" applyBorder="1" applyAlignment="1">
      <alignment horizontal="center" vertical="center"/>
    </xf>
    <xf numFmtId="0" fontId="22" fillId="0" borderId="8" xfId="14" applyFont="1" applyFill="1" applyBorder="1" applyAlignment="1">
      <alignment horizontal="center" vertical="center" wrapText="1"/>
    </xf>
    <xf numFmtId="0" fontId="22" fillId="0" borderId="6" xfId="14" applyFont="1" applyFill="1" applyBorder="1" applyAlignment="1">
      <alignment horizontal="left" vertical="center" wrapText="1"/>
    </xf>
    <xf numFmtId="0" fontId="29" fillId="6" borderId="6" xfId="12" applyFont="1" applyFill="1" applyBorder="1" applyAlignment="1">
      <alignment vertical="center" wrapText="1"/>
    </xf>
    <xf numFmtId="0" fontId="22" fillId="0" borderId="0" xfId="14" applyFont="1" applyBorder="1" applyAlignment="1">
      <alignment vertical="top"/>
    </xf>
    <xf numFmtId="49" fontId="22" fillId="0" borderId="0" xfId="14" applyNumberFormat="1" applyFont="1" applyFill="1" applyAlignment="1">
      <alignment vertical="top"/>
    </xf>
    <xf numFmtId="0" fontId="29" fillId="0" borderId="0" xfId="12" applyFont="1" applyFill="1" applyBorder="1" applyAlignment="1">
      <alignment horizontal="right" vertical="center" wrapText="1"/>
    </xf>
    <xf numFmtId="3" fontId="31" fillId="0" borderId="0" xfId="14" applyNumberFormat="1" applyFont="1" applyFill="1" applyBorder="1" applyAlignment="1">
      <alignment horizontal="right"/>
    </xf>
    <xf numFmtId="166" fontId="22" fillId="0" borderId="0" xfId="14" applyNumberFormat="1" applyFont="1" applyFill="1" applyBorder="1" applyAlignment="1">
      <alignment horizontal="center" vertical="top"/>
    </xf>
    <xf numFmtId="0" fontId="22" fillId="0" borderId="0" xfId="14" applyFont="1" applyFill="1" applyBorder="1" applyAlignment="1">
      <alignment vertical="top"/>
    </xf>
    <xf numFmtId="0" fontId="22" fillId="0" borderId="0" xfId="14" applyFont="1" applyFill="1" applyAlignment="1">
      <alignment vertical="top"/>
    </xf>
    <xf numFmtId="0" fontId="29" fillId="0" borderId="0" xfId="12" applyFont="1" applyFill="1" applyBorder="1" applyAlignment="1">
      <alignment vertical="center" wrapText="1"/>
    </xf>
    <xf numFmtId="0" fontId="22" fillId="0" borderId="0" xfId="14" applyFont="1" applyFill="1" applyBorder="1" applyAlignment="1">
      <alignment horizontal="left" vertical="top"/>
    </xf>
    <xf numFmtId="0" fontId="29" fillId="0" borderId="0" xfId="14" applyFont="1" applyFill="1" applyBorder="1" applyAlignment="1">
      <alignment horizontal="center" vertical="top" wrapText="1"/>
    </xf>
    <xf numFmtId="3" fontId="30" fillId="0" borderId="0" xfId="14" applyNumberFormat="1" applyFont="1" applyFill="1" applyBorder="1" applyAlignment="1">
      <alignment horizontal="center" vertical="top"/>
    </xf>
    <xf numFmtId="3" fontId="22" fillId="0" borderId="0" xfId="14" applyNumberFormat="1" applyFont="1" applyBorder="1" applyAlignment="1">
      <alignment horizontal="center" vertical="top"/>
    </xf>
    <xf numFmtId="166" fontId="22" fillId="0" borderId="0" xfId="14" applyNumberFormat="1" applyFont="1" applyBorder="1" applyAlignment="1">
      <alignment horizontal="center" vertical="top"/>
    </xf>
    <xf numFmtId="0" fontId="9" fillId="0" borderId="0" xfId="14" applyFont="1" applyFill="1" applyBorder="1" applyAlignment="1">
      <alignment horizontal="center" vertical="top"/>
    </xf>
    <xf numFmtId="49" fontId="9" fillId="0" borderId="0" xfId="14" applyNumberFormat="1" applyFont="1" applyBorder="1" applyAlignment="1">
      <alignment vertical="top"/>
    </xf>
    <xf numFmtId="0" fontId="9" fillId="0" borderId="0" xfId="14" applyFont="1" applyFill="1" applyBorder="1" applyAlignment="1">
      <alignment vertical="top"/>
    </xf>
    <xf numFmtId="0" fontId="29" fillId="0" borderId="6" xfId="11" applyFont="1" applyFill="1" applyBorder="1" applyAlignment="1">
      <alignment horizontal="left" vertical="center" wrapText="1"/>
    </xf>
    <xf numFmtId="0" fontId="29" fillId="0" borderId="0" xfId="14" applyFont="1" applyFill="1" applyBorder="1" applyAlignment="1">
      <alignment horizontal="center" vertical="top"/>
    </xf>
    <xf numFmtId="3" fontId="22" fillId="0" borderId="0" xfId="14" applyNumberFormat="1" applyFont="1" applyAlignment="1">
      <alignment vertical="top"/>
    </xf>
    <xf numFmtId="0" fontId="29" fillId="6" borderId="1" xfId="11" applyFont="1" applyFill="1" applyBorder="1" applyAlignment="1">
      <alignment horizontal="left" vertical="center" wrapText="1"/>
    </xf>
    <xf numFmtId="3" fontId="31" fillId="0" borderId="8" xfId="14" applyNumberFormat="1" applyFont="1" applyBorder="1" applyAlignment="1">
      <alignment horizontal="right" vertical="center"/>
    </xf>
    <xf numFmtId="0" fontId="22" fillId="0" borderId="8" xfId="11" applyFont="1" applyFill="1" applyBorder="1" applyAlignment="1">
      <alignment horizontal="center" vertical="center" wrapText="1"/>
    </xf>
    <xf numFmtId="166" fontId="22" fillId="0" borderId="8" xfId="14" applyNumberFormat="1" applyFont="1" applyBorder="1" applyAlignment="1">
      <alignment horizontal="center" vertical="center"/>
    </xf>
    <xf numFmtId="0" fontId="32" fillId="0" borderId="6" xfId="11" applyFont="1" applyFill="1" applyBorder="1" applyAlignment="1">
      <alignment horizontal="left" vertical="center" wrapText="1"/>
    </xf>
    <xf numFmtId="49" fontId="9" fillId="0" borderId="0" xfId="14" applyNumberFormat="1" applyFont="1" applyFill="1" applyBorder="1" applyAlignment="1">
      <alignment horizontal="center" vertical="top"/>
    </xf>
    <xf numFmtId="3" fontId="22" fillId="0" borderId="0" xfId="14" applyNumberFormat="1" applyFont="1" applyFill="1" applyBorder="1" applyAlignment="1">
      <alignment horizontal="center" vertical="top"/>
    </xf>
    <xf numFmtId="0" fontId="8" fillId="0" borderId="0" xfId="14" applyFont="1" applyFill="1" applyAlignment="1">
      <alignment horizontal="left" vertical="top"/>
    </xf>
    <xf numFmtId="0" fontId="8" fillId="0" borderId="0" xfId="14" applyFont="1" applyFill="1" applyBorder="1" applyAlignment="1">
      <alignment horizontal="left" vertical="top"/>
    </xf>
    <xf numFmtId="0" fontId="27" fillId="0" borderId="0" xfId="14" applyFont="1" applyFill="1" applyAlignment="1">
      <alignment horizontal="center" vertical="top"/>
    </xf>
    <xf numFmtId="0" fontId="4" fillId="0" borderId="0" xfId="14" applyFont="1" applyFill="1" applyAlignment="1">
      <alignment horizontal="center" vertical="top"/>
    </xf>
    <xf numFmtId="0" fontId="28" fillId="0" borderId="0" xfId="14" applyFont="1" applyFill="1" applyAlignment="1">
      <alignment vertical="top"/>
    </xf>
    <xf numFmtId="167" fontId="0" fillId="8" borderId="10" xfId="0" applyNumberFormat="1" applyFill="1" applyBorder="1"/>
    <xf numFmtId="168" fontId="7" fillId="10" borderId="0" xfId="5" applyFont="1" applyFill="1" applyBorder="1" applyAlignment="1">
      <alignment horizontal="left" indent="4"/>
    </xf>
    <xf numFmtId="167" fontId="47" fillId="2" borderId="11" xfId="1" applyNumberFormat="1" applyFont="1" applyFill="1" applyBorder="1"/>
    <xf numFmtId="0" fontId="29" fillId="11" borderId="8" xfId="10" applyFont="1" applyFill="1" applyBorder="1" applyAlignment="1">
      <alignment horizontal="center" vertical="center" wrapText="1"/>
    </xf>
    <xf numFmtId="0" fontId="22" fillId="11" borderId="8" xfId="10" applyFont="1" applyFill="1" applyBorder="1" applyAlignment="1">
      <alignment vertical="top"/>
    </xf>
    <xf numFmtId="0" fontId="22" fillId="11" borderId="8" xfId="10" applyFont="1" applyFill="1" applyBorder="1" applyAlignment="1">
      <alignment vertical="top" wrapText="1"/>
    </xf>
    <xf numFmtId="0" fontId="29" fillId="11" borderId="8" xfId="10" applyFont="1" applyFill="1" applyBorder="1" applyAlignment="1">
      <alignment vertical="top"/>
    </xf>
    <xf numFmtId="0" fontId="22" fillId="0" borderId="0" xfId="10" applyFont="1" applyAlignment="1">
      <alignment vertical="top"/>
    </xf>
    <xf numFmtId="49" fontId="22" fillId="10" borderId="8" xfId="10" applyNumberFormat="1" applyFont="1" applyFill="1" applyBorder="1" applyAlignment="1">
      <alignment vertical="top"/>
    </xf>
    <xf numFmtId="49" fontId="22" fillId="10" borderId="8" xfId="16" applyNumberFormat="1" applyFont="1" applyFill="1" applyBorder="1" applyAlignment="1">
      <alignment vertical="top"/>
    </xf>
    <xf numFmtId="0" fontId="48" fillId="0" borderId="0" xfId="17" applyFont="1" applyAlignment="1"/>
    <xf numFmtId="0" fontId="9" fillId="0" borderId="0" xfId="17" applyAlignment="1"/>
    <xf numFmtId="167" fontId="8" fillId="12" borderId="8" xfId="1" applyNumberFormat="1" applyFont="1" applyFill="1" applyBorder="1" applyAlignment="1"/>
    <xf numFmtId="0" fontId="6" fillId="0" borderId="0" xfId="4"/>
    <xf numFmtId="0" fontId="9" fillId="13" borderId="30" xfId="17" applyFont="1" applyFill="1" applyBorder="1" applyAlignment="1"/>
    <xf numFmtId="0" fontId="9" fillId="0" borderId="0" xfId="17" applyFill="1" applyAlignment="1"/>
    <xf numFmtId="0" fontId="9" fillId="13" borderId="8" xfId="17" applyFont="1" applyFill="1" applyBorder="1" applyAlignment="1">
      <alignment horizontal="center" vertical="center"/>
    </xf>
    <xf numFmtId="0" fontId="50" fillId="0" borderId="0" xfId="17" applyFont="1" applyFill="1" applyAlignment="1">
      <alignment horizontal="left" vertical="center"/>
    </xf>
    <xf numFmtId="0" fontId="9" fillId="13" borderId="8" xfId="17" applyFont="1" applyFill="1" applyBorder="1" applyAlignment="1"/>
    <xf numFmtId="3" fontId="9" fillId="0" borderId="0" xfId="17" applyNumberFormat="1" applyFill="1" applyBorder="1" applyAlignment="1">
      <alignment horizontal="left"/>
    </xf>
    <xf numFmtId="3" fontId="9" fillId="13" borderId="8" xfId="17" applyNumberFormat="1" applyFont="1" applyFill="1" applyBorder="1" applyAlignment="1"/>
    <xf numFmtId="0" fontId="9" fillId="0" borderId="0" xfId="17" applyFill="1" applyBorder="1" applyAlignment="1"/>
    <xf numFmtId="3" fontId="53" fillId="13" borderId="8" xfId="17" applyNumberFormat="1" applyFont="1" applyFill="1" applyBorder="1" applyAlignment="1"/>
    <xf numFmtId="3" fontId="52" fillId="0" borderId="0" xfId="17" applyNumberFormat="1" applyFont="1" applyFill="1" applyAlignment="1"/>
    <xf numFmtId="3" fontId="9" fillId="0" borderId="0" xfId="17" applyNumberFormat="1" applyFill="1" applyAlignment="1"/>
    <xf numFmtId="3" fontId="54" fillId="13" borderId="8" xfId="17" applyNumberFormat="1" applyFont="1" applyFill="1" applyBorder="1" applyAlignment="1"/>
    <xf numFmtId="170" fontId="54" fillId="13" borderId="8" xfId="17" applyNumberFormat="1" applyFont="1" applyFill="1" applyBorder="1" applyAlignment="1"/>
    <xf numFmtId="170" fontId="7" fillId="14" borderId="8" xfId="1" applyNumberFormat="1" applyFont="1" applyFill="1" applyBorder="1"/>
    <xf numFmtId="0" fontId="55" fillId="0" borderId="0" xfId="17" applyFont="1" applyFill="1" applyAlignment="1">
      <alignment vertical="center"/>
    </xf>
    <xf numFmtId="170" fontId="56" fillId="13" borderId="8" xfId="17" applyNumberFormat="1" applyFont="1" applyFill="1" applyBorder="1" applyAlignment="1"/>
    <xf numFmtId="165" fontId="9" fillId="0" borderId="0" xfId="17" applyNumberFormat="1" applyFill="1" applyAlignment="1"/>
    <xf numFmtId="170" fontId="7" fillId="14" borderId="8" xfId="1" applyNumberFormat="1" applyFont="1" applyFill="1" applyBorder="1" applyAlignment="1">
      <alignment horizontal="right"/>
    </xf>
    <xf numFmtId="171" fontId="54" fillId="13" borderId="8" xfId="1" applyNumberFormat="1" applyFont="1" applyFill="1" applyBorder="1" applyAlignment="1"/>
    <xf numFmtId="0" fontId="9" fillId="13" borderId="8" xfId="17" applyFont="1" applyFill="1" applyBorder="1" applyAlignment="1">
      <alignment horizontal="right" wrapText="1"/>
    </xf>
    <xf numFmtId="0" fontId="9" fillId="13" borderId="37" xfId="17" applyFont="1" applyFill="1" applyBorder="1" applyAlignment="1"/>
    <xf numFmtId="0" fontId="9" fillId="0" borderId="0" xfId="17" applyFont="1" applyFill="1" applyAlignment="1"/>
    <xf numFmtId="0" fontId="9" fillId="0" borderId="0" xfId="17" applyFont="1" applyAlignment="1"/>
    <xf numFmtId="0" fontId="28" fillId="0" borderId="0" xfId="17" applyFont="1" applyAlignment="1"/>
    <xf numFmtId="0" fontId="7" fillId="0" borderId="0" xfId="4" applyFont="1"/>
    <xf numFmtId="0" fontId="9" fillId="2" borderId="0" xfId="10" applyFont="1" applyFill="1" applyAlignment="1">
      <alignment vertical="top"/>
    </xf>
    <xf numFmtId="49" fontId="8" fillId="10" borderId="8" xfId="10" applyNumberFormat="1" applyFont="1" applyFill="1" applyBorder="1" applyAlignment="1">
      <alignment horizontal="center" vertical="center" wrapText="1"/>
    </xf>
    <xf numFmtId="0" fontId="9" fillId="11" borderId="8" xfId="10" applyFont="1" applyFill="1" applyBorder="1" applyAlignment="1">
      <alignment vertical="top"/>
    </xf>
    <xf numFmtId="49" fontId="9" fillId="10" borderId="8" xfId="10" applyNumberFormat="1" applyFont="1" applyFill="1" applyBorder="1" applyAlignment="1">
      <alignment vertical="top"/>
    </xf>
    <xf numFmtId="0" fontId="8" fillId="11" borderId="8" xfId="10" applyFont="1" applyFill="1" applyBorder="1" applyAlignment="1">
      <alignment vertical="top"/>
    </xf>
    <xf numFmtId="0" fontId="29" fillId="6" borderId="8" xfId="14" applyFont="1" applyFill="1" applyBorder="1" applyAlignment="1">
      <alignment horizontal="center" vertical="center"/>
    </xf>
    <xf numFmtId="0" fontId="29" fillId="6" borderId="8" xfId="11" applyFont="1" applyFill="1" applyBorder="1" applyAlignment="1">
      <alignment horizontal="center" vertical="center"/>
    </xf>
    <xf numFmtId="0" fontId="22" fillId="6" borderId="8" xfId="14" applyFont="1" applyFill="1" applyBorder="1" applyAlignment="1">
      <alignment horizontal="center" vertical="center"/>
    </xf>
    <xf numFmtId="0" fontId="29" fillId="6" borderId="8" xfId="11" applyFont="1" applyFill="1" applyBorder="1" applyAlignment="1">
      <alignment vertical="center" wrapText="1"/>
    </xf>
    <xf numFmtId="0" fontId="31" fillId="6" borderId="8" xfId="11" applyNumberFormat="1" applyFont="1" applyFill="1" applyBorder="1" applyAlignment="1">
      <alignment horizontal="center" vertical="center"/>
    </xf>
    <xf numFmtId="0" fontId="31" fillId="6" borderId="8" xfId="11" applyFont="1" applyFill="1" applyBorder="1" applyAlignment="1">
      <alignment horizontal="center" vertical="center"/>
    </xf>
    <xf numFmtId="0" fontId="23" fillId="6" borderId="8" xfId="11" applyFont="1" applyFill="1" applyBorder="1" applyAlignment="1">
      <alignment horizontal="center" vertical="center" wrapText="1"/>
    </xf>
    <xf numFmtId="3" fontId="30" fillId="6" borderId="8" xfId="14" applyNumberFormat="1" applyFont="1" applyFill="1" applyBorder="1" applyAlignment="1">
      <alignment horizontal="right" vertical="center"/>
    </xf>
    <xf numFmtId="3" fontId="22" fillId="6" borderId="8" xfId="14" applyNumberFormat="1" applyFont="1" applyFill="1" applyBorder="1" applyAlignment="1">
      <alignment horizontal="right" vertical="center"/>
    </xf>
    <xf numFmtId="166" fontId="22" fillId="6" borderId="8" xfId="14" applyNumberFormat="1" applyFont="1" applyFill="1" applyBorder="1" applyAlignment="1">
      <alignment horizontal="center" vertical="center"/>
    </xf>
    <xf numFmtId="0" fontId="29" fillId="6" borderId="8" xfId="14" applyFont="1" applyFill="1" applyBorder="1" applyAlignment="1">
      <alignment horizontal="center" vertical="center" wrapText="1"/>
    </xf>
    <xf numFmtId="3" fontId="31" fillId="6" borderId="8" xfId="14" applyNumberFormat="1" applyFont="1" applyFill="1" applyBorder="1" applyAlignment="1">
      <alignment horizontal="right" vertical="center"/>
    </xf>
    <xf numFmtId="0" fontId="22" fillId="0" borderId="8" xfId="14" applyFont="1" applyFill="1" applyBorder="1" applyAlignment="1">
      <alignment horizontal="center" vertical="center"/>
    </xf>
    <xf numFmtId="3" fontId="26" fillId="0" borderId="8" xfId="14" applyNumberFormat="1" applyFont="1" applyBorder="1" applyAlignment="1">
      <alignment horizontal="right" vertical="center"/>
    </xf>
    <xf numFmtId="0" fontId="22" fillId="0" borderId="7" xfId="14" applyFont="1" applyFill="1" applyBorder="1" applyAlignment="1">
      <alignment horizontal="left" vertical="center" wrapText="1"/>
    </xf>
    <xf numFmtId="3" fontId="26" fillId="0" borderId="6" xfId="14" applyNumberFormat="1" applyFont="1" applyBorder="1" applyAlignment="1">
      <alignment horizontal="right" vertical="center"/>
    </xf>
    <xf numFmtId="3" fontId="26" fillId="0" borderId="8" xfId="14" applyNumberFormat="1" applyFont="1" applyFill="1" applyBorder="1" applyAlignment="1">
      <alignment horizontal="right" vertical="center"/>
    </xf>
    <xf numFmtId="0" fontId="32" fillId="0" borderId="7" xfId="14" applyFont="1" applyFill="1" applyBorder="1" applyAlignment="1">
      <alignment horizontal="left" vertical="center" wrapText="1"/>
    </xf>
    <xf numFmtId="0" fontId="32" fillId="0" borderId="7" xfId="12" applyFont="1" applyFill="1" applyBorder="1" applyAlignment="1">
      <alignment horizontal="left" vertical="center"/>
    </xf>
    <xf numFmtId="0" fontId="26" fillId="0" borderId="8" xfId="14" applyFont="1" applyFill="1" applyBorder="1" applyAlignment="1">
      <alignment horizontal="center" vertical="center" wrapText="1"/>
    </xf>
    <xf numFmtId="0" fontId="35" fillId="0" borderId="6" xfId="14" applyFont="1" applyFill="1" applyBorder="1" applyAlignment="1">
      <alignment horizontal="left" vertical="center" wrapText="1"/>
    </xf>
    <xf numFmtId="0" fontId="33" fillId="0" borderId="8" xfId="12" applyFont="1" applyFill="1" applyBorder="1" applyAlignment="1">
      <alignment horizontal="left" vertical="center"/>
    </xf>
    <xf numFmtId="0" fontId="35" fillId="0" borderId="6" xfId="11" applyFont="1" applyFill="1" applyBorder="1" applyAlignment="1">
      <alignment horizontal="left" vertical="center" wrapText="1"/>
    </xf>
    <xf numFmtId="0" fontId="22" fillId="0" borderId="6" xfId="11" applyFont="1" applyFill="1" applyBorder="1" applyAlignment="1">
      <alignment horizontal="left" vertical="center" wrapText="1"/>
    </xf>
    <xf numFmtId="0" fontId="33" fillId="0" borderId="6" xfId="12" applyFont="1" applyFill="1" applyBorder="1" applyAlignment="1">
      <alignment horizontal="left" vertical="center"/>
    </xf>
    <xf numFmtId="0" fontId="22" fillId="0" borderId="9" xfId="11" applyFont="1" applyFill="1" applyBorder="1" applyAlignment="1">
      <alignment horizontal="center" vertical="center" wrapText="1"/>
    </xf>
    <xf numFmtId="0" fontId="22" fillId="0" borderId="4" xfId="11" applyFont="1" applyFill="1" applyBorder="1" applyAlignment="1">
      <alignment horizontal="left" vertical="center" wrapText="1"/>
    </xf>
    <xf numFmtId="0" fontId="29" fillId="0" borderId="7" xfId="14" applyFont="1" applyFill="1" applyBorder="1" applyAlignment="1">
      <alignment horizontal="left" vertical="center" wrapText="1"/>
    </xf>
    <xf numFmtId="3" fontId="31" fillId="0" borderId="8" xfId="14" applyNumberFormat="1" applyFont="1" applyFill="1" applyBorder="1" applyAlignment="1">
      <alignment horizontal="right" vertical="center"/>
    </xf>
    <xf numFmtId="0" fontId="22" fillId="0" borderId="7" xfId="11" applyFont="1" applyFill="1" applyBorder="1" applyAlignment="1">
      <alignment horizontal="left" vertical="center" wrapText="1"/>
    </xf>
    <xf numFmtId="0" fontId="33" fillId="0" borderId="8" xfId="13" applyFont="1" applyFill="1" applyBorder="1" applyAlignment="1">
      <alignment horizontal="left" vertical="center"/>
    </xf>
    <xf numFmtId="0" fontId="33" fillId="0" borderId="6" xfId="13" applyFont="1" applyFill="1" applyBorder="1" applyAlignment="1">
      <alignment horizontal="left" vertical="center"/>
    </xf>
    <xf numFmtId="0" fontId="39" fillId="0" borderId="8" xfId="13" applyFont="1" applyFill="1" applyBorder="1" applyAlignment="1">
      <alignment horizontal="left" vertical="center"/>
    </xf>
    <xf numFmtId="0" fontId="32" fillId="0" borderId="8" xfId="11" applyFont="1" applyFill="1" applyBorder="1" applyAlignment="1">
      <alignment horizontal="center" vertical="center" wrapText="1"/>
    </xf>
    <xf numFmtId="0" fontId="39" fillId="0" borderId="6" xfId="13" applyFont="1" applyFill="1" applyBorder="1" applyAlignment="1">
      <alignment horizontal="left" vertical="center"/>
    </xf>
    <xf numFmtId="0" fontId="22" fillId="0" borderId="8" xfId="11" applyFont="1" applyFill="1" applyBorder="1" applyAlignment="1">
      <alignment horizontal="left" vertical="center" wrapText="1"/>
    </xf>
    <xf numFmtId="0" fontId="35" fillId="0" borderId="8" xfId="12" applyFont="1" applyFill="1" applyBorder="1" applyAlignment="1">
      <alignment horizontal="left" vertical="center"/>
    </xf>
    <xf numFmtId="0" fontId="35" fillId="0" borderId="7" xfId="12" applyFont="1" applyFill="1" applyBorder="1" applyAlignment="1">
      <alignment horizontal="left" vertical="center"/>
    </xf>
    <xf numFmtId="0" fontId="22" fillId="0" borderId="7" xfId="12" applyFont="1" applyFill="1" applyBorder="1" applyAlignment="1">
      <alignment horizontal="left" vertical="center"/>
    </xf>
    <xf numFmtId="0" fontId="26" fillId="0" borderId="8" xfId="11" applyFont="1" applyFill="1" applyBorder="1" applyAlignment="1">
      <alignment horizontal="center" vertical="center" wrapText="1"/>
    </xf>
    <xf numFmtId="0" fontId="26" fillId="0" borderId="6" xfId="11" applyFont="1" applyFill="1" applyBorder="1" applyAlignment="1">
      <alignment horizontal="left" vertical="center" wrapText="1"/>
    </xf>
    <xf numFmtId="0" fontId="35" fillId="0" borderId="8" xfId="11" applyFont="1" applyFill="1" applyBorder="1" applyAlignment="1">
      <alignment horizontal="left" vertical="center" wrapText="1"/>
    </xf>
    <xf numFmtId="0" fontId="32" fillId="0" borderId="8" xfId="11" applyFont="1" applyFill="1" applyBorder="1" applyAlignment="1">
      <alignment horizontal="left" vertical="center" wrapText="1"/>
    </xf>
    <xf numFmtId="0" fontId="22" fillId="0" borderId="10" xfId="11" applyFont="1" applyFill="1" applyBorder="1" applyAlignment="1">
      <alignment horizontal="center" vertical="center" wrapText="1"/>
    </xf>
    <xf numFmtId="0" fontId="22" fillId="0" borderId="1" xfId="11" applyFont="1" applyFill="1" applyBorder="1" applyAlignment="1">
      <alignment horizontal="left" vertical="center" wrapText="1"/>
    </xf>
    <xf numFmtId="0" fontId="32" fillId="0" borderId="6" xfId="14" applyFont="1" applyFill="1" applyBorder="1" applyAlignment="1">
      <alignment horizontal="left" vertical="center" wrapText="1"/>
    </xf>
    <xf numFmtId="3" fontId="26" fillId="7" borderId="6" xfId="14" applyNumberFormat="1" applyFont="1" applyFill="1" applyBorder="1" applyAlignment="1">
      <alignment horizontal="right" vertical="center"/>
    </xf>
    <xf numFmtId="0" fontId="29" fillId="6" borderId="8" xfId="11" applyFont="1" applyFill="1" applyBorder="1" applyAlignment="1">
      <alignment horizontal="center" vertical="center" wrapText="1"/>
    </xf>
    <xf numFmtId="3" fontId="26" fillId="6" borderId="8" xfId="14" applyNumberFormat="1" applyFont="1" applyFill="1" applyBorder="1" applyAlignment="1">
      <alignment horizontal="right" vertical="center"/>
    </xf>
    <xf numFmtId="0" fontId="22" fillId="0" borderId="6" xfId="11" applyFont="1" applyFill="1" applyBorder="1" applyAlignment="1">
      <alignment vertical="center" wrapText="1"/>
    </xf>
    <xf numFmtId="0" fontId="32" fillId="0" borderId="8" xfId="14" applyFont="1" applyFill="1" applyBorder="1" applyAlignment="1">
      <alignment horizontal="center" vertical="center" wrapText="1"/>
    </xf>
    <xf numFmtId="3" fontId="31" fillId="0" borderId="0" xfId="14" applyNumberFormat="1" applyFont="1" applyFill="1" applyBorder="1" applyAlignment="1">
      <alignment horizontal="right" vertical="center"/>
    </xf>
    <xf numFmtId="166" fontId="22" fillId="0" borderId="8" xfId="14" applyNumberFormat="1" applyFont="1" applyFill="1" applyBorder="1" applyAlignment="1">
      <alignment horizontal="center" vertical="center"/>
    </xf>
    <xf numFmtId="49" fontId="22" fillId="0" borderId="0" xfId="14" applyNumberFormat="1" applyFont="1" applyFill="1" applyAlignment="1">
      <alignment vertical="center"/>
    </xf>
    <xf numFmtId="166" fontId="22" fillId="0" borderId="0" xfId="14" applyNumberFormat="1" applyFont="1" applyFill="1" applyBorder="1" applyAlignment="1">
      <alignment horizontal="center" vertical="center"/>
    </xf>
    <xf numFmtId="3" fontId="26" fillId="0" borderId="6" xfId="14" applyNumberFormat="1" applyFont="1" applyFill="1" applyBorder="1" applyAlignment="1">
      <alignment horizontal="right" vertical="center"/>
    </xf>
    <xf numFmtId="3" fontId="29" fillId="0" borderId="8" xfId="14" applyNumberFormat="1" applyFont="1" applyFill="1" applyBorder="1" applyAlignment="1">
      <alignment horizontal="right" vertical="center"/>
    </xf>
    <xf numFmtId="3" fontId="26" fillId="0" borderId="8" xfId="14" applyNumberFormat="1" applyFont="1" applyFill="1" applyBorder="1" applyAlignment="1">
      <alignment horizontal="right" vertical="center" wrapText="1"/>
    </xf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4" fillId="0" borderId="0" xfId="0" applyFont="1" applyAlignment="1"/>
    <xf numFmtId="167" fontId="58" fillId="11" borderId="11" xfId="1" applyNumberFormat="1" applyFont="1" applyFill="1" applyBorder="1"/>
    <xf numFmtId="3" fontId="9" fillId="0" borderId="0" xfId="14" applyNumberFormat="1" applyFont="1" applyBorder="1" applyAlignment="1">
      <alignment vertical="top"/>
    </xf>
    <xf numFmtId="0" fontId="0" fillId="5" borderId="6" xfId="0" applyFill="1" applyBorder="1"/>
    <xf numFmtId="49" fontId="0" fillId="3" borderId="7" xfId="0" applyNumberFormat="1" applyFill="1" applyBorder="1"/>
    <xf numFmtId="0" fontId="0" fillId="3" borderId="7" xfId="0" applyFill="1" applyBorder="1"/>
    <xf numFmtId="167" fontId="0" fillId="9" borderId="38" xfId="1" applyNumberFormat="1" applyFont="1" applyFill="1" applyBorder="1"/>
    <xf numFmtId="167" fontId="2" fillId="15" borderId="9" xfId="1" applyNumberFormat="1" applyFont="1" applyFill="1" applyBorder="1"/>
    <xf numFmtId="168" fontId="9" fillId="10" borderId="7" xfId="5" applyFont="1" applyFill="1" applyBorder="1" applyAlignment="1">
      <alignment horizontal="left"/>
    </xf>
    <xf numFmtId="168" fontId="9" fillId="4" borderId="27" xfId="5" applyFont="1" applyFill="1" applyBorder="1" applyAlignment="1">
      <alignment horizontal="left"/>
    </xf>
    <xf numFmtId="0" fontId="59" fillId="2" borderId="0" xfId="0" applyFont="1" applyFill="1" applyAlignment="1">
      <alignment horizontal="center" vertical="center"/>
    </xf>
    <xf numFmtId="0" fontId="1" fillId="0" borderId="0" xfId="4" applyFont="1"/>
    <xf numFmtId="0" fontId="22" fillId="0" borderId="6" xfId="10" applyFont="1" applyFill="1" applyBorder="1" applyAlignment="1" applyProtection="1">
      <alignment horizontal="left" vertical="center" wrapText="1"/>
      <protection locked="0"/>
    </xf>
    <xf numFmtId="0" fontId="22" fillId="0" borderId="7" xfId="11" applyFont="1" applyFill="1" applyBorder="1" applyAlignment="1" applyProtection="1">
      <alignment horizontal="left" vertical="center" wrapText="1"/>
      <protection locked="0"/>
    </xf>
    <xf numFmtId="3" fontId="22" fillId="0" borderId="0" xfId="14" applyNumberFormat="1" applyFont="1" applyFill="1" applyBorder="1" applyAlignment="1">
      <alignment vertical="top"/>
    </xf>
    <xf numFmtId="0" fontId="9" fillId="0" borderId="3" xfId="14" applyFont="1" applyFill="1" applyBorder="1" applyAlignment="1">
      <alignment vertical="top"/>
    </xf>
    <xf numFmtId="3" fontId="9" fillId="0" borderId="0" xfId="14" applyNumberFormat="1" applyFont="1" applyFill="1" applyBorder="1" applyAlignment="1">
      <alignment vertical="top"/>
    </xf>
    <xf numFmtId="166" fontId="22" fillId="0" borderId="0" xfId="14" applyNumberFormat="1" applyFont="1" applyAlignment="1">
      <alignment vertical="top"/>
    </xf>
    <xf numFmtId="3" fontId="29" fillId="0" borderId="0" xfId="14" applyNumberFormat="1" applyFont="1" applyAlignment="1">
      <alignment vertical="top"/>
    </xf>
    <xf numFmtId="3" fontId="26" fillId="0" borderId="0" xfId="14" applyNumberFormat="1" applyFont="1" applyBorder="1" applyAlignment="1">
      <alignment horizontal="right" vertical="center"/>
    </xf>
    <xf numFmtId="0" fontId="60" fillId="0" borderId="0" xfId="14" applyFont="1" applyBorder="1" applyAlignment="1">
      <alignment horizontal="left" vertical="top"/>
    </xf>
    <xf numFmtId="167" fontId="16" fillId="16" borderId="11" xfId="1" applyNumberFormat="1" applyFont="1" applyFill="1" applyBorder="1"/>
    <xf numFmtId="0" fontId="8" fillId="0" borderId="0" xfId="14" applyFont="1" applyFill="1" applyAlignment="1">
      <alignment horizontal="center" vertical="top"/>
    </xf>
    <xf numFmtId="167" fontId="2" fillId="17" borderId="11" xfId="1" applyNumberFormat="1" applyFont="1" applyFill="1" applyBorder="1"/>
    <xf numFmtId="167" fontId="18" fillId="17" borderId="11" xfId="1" applyNumberFormat="1" applyFont="1" applyFill="1" applyBorder="1"/>
    <xf numFmtId="0" fontId="63" fillId="0" borderId="8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 wrapText="1"/>
    </xf>
    <xf numFmtId="0" fontId="63" fillId="0" borderId="8" xfId="0" applyFont="1" applyBorder="1"/>
    <xf numFmtId="0" fontId="63" fillId="0" borderId="8" xfId="0" applyFont="1" applyBorder="1" applyAlignment="1">
      <alignment wrapText="1"/>
    </xf>
    <xf numFmtId="0" fontId="64" fillId="0" borderId="8" xfId="0" applyFont="1" applyBorder="1"/>
    <xf numFmtId="0" fontId="64" fillId="0" borderId="8" xfId="0" applyFont="1" applyBorder="1" applyAlignment="1">
      <alignment wrapText="1"/>
    </xf>
    <xf numFmtId="0" fontId="63" fillId="0" borderId="8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32" fillId="0" borderId="8" xfId="14" applyFont="1" applyFill="1" applyBorder="1" applyAlignment="1">
      <alignment horizontal="center" vertical="center"/>
    </xf>
    <xf numFmtId="0" fontId="32" fillId="0" borderId="8" xfId="14" applyFont="1" applyBorder="1" applyAlignment="1">
      <alignment horizontal="center" vertical="center"/>
    </xf>
    <xf numFmtId="0" fontId="32" fillId="0" borderId="9" xfId="11" applyFont="1" applyFill="1" applyBorder="1" applyAlignment="1">
      <alignment horizontal="center" vertical="center" wrapText="1"/>
    </xf>
    <xf numFmtId="0" fontId="32" fillId="2" borderId="8" xfId="11" applyFont="1" applyFill="1" applyBorder="1" applyAlignment="1">
      <alignment horizontal="center" vertical="center" wrapText="1"/>
    </xf>
    <xf numFmtId="3" fontId="63" fillId="0" borderId="8" xfId="0" applyNumberFormat="1" applyFont="1" applyBorder="1" applyAlignment="1">
      <alignment wrapText="1"/>
    </xf>
    <xf numFmtId="3" fontId="22" fillId="0" borderId="0" xfId="14" applyNumberFormat="1" applyFont="1" applyFill="1" applyAlignment="1">
      <alignment vertical="top"/>
    </xf>
    <xf numFmtId="0" fontId="57" fillId="13" borderId="32" xfId="17" applyFont="1" applyFill="1" applyBorder="1" applyAlignment="1">
      <alignment horizontal="left" vertical="center"/>
    </xf>
    <xf numFmtId="0" fontId="57" fillId="13" borderId="7" xfId="17" applyFont="1" applyFill="1" applyBorder="1" applyAlignment="1">
      <alignment horizontal="left" vertical="center"/>
    </xf>
    <xf numFmtId="0" fontId="57" fillId="13" borderId="27" xfId="17" applyFont="1" applyFill="1" applyBorder="1" applyAlignment="1">
      <alignment horizontal="left" vertical="center"/>
    </xf>
    <xf numFmtId="0" fontId="9" fillId="13" borderId="6" xfId="17" applyFill="1" applyBorder="1" applyAlignment="1">
      <alignment horizontal="center"/>
    </xf>
    <xf numFmtId="0" fontId="9" fillId="13" borderId="27" xfId="17" applyFill="1" applyBorder="1" applyAlignment="1">
      <alignment horizontal="center"/>
    </xf>
    <xf numFmtId="0" fontId="52" fillId="13" borderId="32" xfId="17" applyFont="1" applyFill="1" applyBorder="1" applyAlignment="1">
      <alignment horizontal="left" vertical="center"/>
    </xf>
    <xf numFmtId="0" fontId="52" fillId="13" borderId="7" xfId="17" applyFont="1" applyFill="1" applyBorder="1" applyAlignment="1">
      <alignment horizontal="left" vertical="center"/>
    </xf>
    <xf numFmtId="0" fontId="52" fillId="13" borderId="27" xfId="17" applyFont="1" applyFill="1" applyBorder="1" applyAlignment="1">
      <alignment horizontal="left" vertical="center"/>
    </xf>
    <xf numFmtId="0" fontId="28" fillId="13" borderId="6" xfId="17" applyFont="1" applyFill="1" applyBorder="1" applyAlignment="1">
      <alignment horizontal="center"/>
    </xf>
    <xf numFmtId="0" fontId="28" fillId="13" borderId="27" xfId="17" applyFont="1" applyFill="1" applyBorder="1" applyAlignment="1">
      <alignment horizontal="center"/>
    </xf>
    <xf numFmtId="0" fontId="57" fillId="13" borderId="33" xfId="17" applyFont="1" applyFill="1" applyBorder="1" applyAlignment="1">
      <alignment horizontal="left" vertical="center"/>
    </xf>
    <xf numFmtId="0" fontId="57" fillId="13" borderId="34" xfId="17" applyFont="1" applyFill="1" applyBorder="1" applyAlignment="1">
      <alignment horizontal="left" vertical="center"/>
    </xf>
    <xf numFmtId="0" fontId="57" fillId="13" borderId="35" xfId="17" applyFont="1" applyFill="1" applyBorder="1" applyAlignment="1">
      <alignment horizontal="left" vertical="center"/>
    </xf>
    <xf numFmtId="0" fontId="57" fillId="13" borderId="36" xfId="17" applyFont="1" applyFill="1" applyBorder="1" applyAlignment="1">
      <alignment horizontal="center"/>
    </xf>
    <xf numFmtId="0" fontId="57" fillId="13" borderId="35" xfId="17" applyFont="1" applyFill="1" applyBorder="1" applyAlignment="1">
      <alignment horizontal="center"/>
    </xf>
    <xf numFmtId="0" fontId="57" fillId="13" borderId="6" xfId="17" applyFont="1" applyFill="1" applyBorder="1" applyAlignment="1">
      <alignment horizontal="center"/>
    </xf>
    <xf numFmtId="0" fontId="57" fillId="13" borderId="27" xfId="17" applyFont="1" applyFill="1" applyBorder="1" applyAlignment="1">
      <alignment horizontal="center"/>
    </xf>
    <xf numFmtId="0" fontId="9" fillId="13" borderId="32" xfId="17" applyFill="1" applyBorder="1" applyAlignment="1">
      <alignment horizontal="left" vertical="center"/>
    </xf>
    <xf numFmtId="0" fontId="9" fillId="13" borderId="7" xfId="17" applyFill="1" applyBorder="1" applyAlignment="1">
      <alignment horizontal="left" vertical="center"/>
    </xf>
    <xf numFmtId="0" fontId="9" fillId="13" borderId="27" xfId="17" applyFill="1" applyBorder="1" applyAlignment="1">
      <alignment horizontal="left" vertical="center"/>
    </xf>
    <xf numFmtId="0" fontId="9" fillId="13" borderId="6" xfId="17" applyFill="1" applyBorder="1" applyAlignment="1">
      <alignment horizontal="center" vertical="top" wrapText="1"/>
    </xf>
    <xf numFmtId="0" fontId="9" fillId="13" borderId="27" xfId="17" applyFill="1" applyBorder="1" applyAlignment="1">
      <alignment horizontal="center" vertical="top" wrapText="1"/>
    </xf>
    <xf numFmtId="0" fontId="28" fillId="13" borderId="32" xfId="17" applyFont="1" applyFill="1" applyBorder="1" applyAlignment="1">
      <alignment horizontal="left" vertical="center"/>
    </xf>
    <xf numFmtId="0" fontId="51" fillId="13" borderId="31" xfId="17" applyFont="1" applyFill="1" applyBorder="1" applyAlignment="1">
      <alignment horizontal="center"/>
    </xf>
    <xf numFmtId="0" fontId="51" fillId="13" borderId="8" xfId="17" applyFont="1" applyFill="1" applyBorder="1" applyAlignment="1">
      <alignment horizontal="center"/>
    </xf>
    <xf numFmtId="0" fontId="28" fillId="13" borderId="6" xfId="17" applyFont="1" applyFill="1" applyBorder="1" applyAlignment="1">
      <alignment horizontal="center" wrapText="1"/>
    </xf>
    <xf numFmtId="0" fontId="9" fillId="13" borderId="27" xfId="17" applyFill="1" applyBorder="1" applyAlignment="1">
      <alignment horizontal="center" wrapText="1"/>
    </xf>
    <xf numFmtId="0" fontId="49" fillId="0" borderId="28" xfId="17" applyFont="1" applyBorder="1" applyAlignment="1">
      <alignment horizontal="center" vertical="center"/>
    </xf>
    <xf numFmtId="0" fontId="9" fillId="13" borderId="29" xfId="17" applyFill="1" applyBorder="1" applyAlignment="1">
      <alignment horizontal="center"/>
    </xf>
    <xf numFmtId="0" fontId="9" fillId="13" borderId="30" xfId="17" applyFill="1" applyBorder="1" applyAlignment="1">
      <alignment horizontal="center"/>
    </xf>
    <xf numFmtId="0" fontId="9" fillId="13" borderId="31" xfId="17" applyFill="1" applyBorder="1" applyAlignment="1">
      <alignment horizontal="center"/>
    </xf>
    <xf numFmtId="0" fontId="9" fillId="13" borderId="8" xfId="17" applyFill="1" applyBorder="1" applyAlignment="1">
      <alignment horizontal="center"/>
    </xf>
  </cellXfs>
  <cellStyles count="18">
    <cellStyle name="Comma" xfId="1" builtinId="3"/>
    <cellStyle name="Normal" xfId="0" builtinId="0"/>
    <cellStyle name="Normal 10" xfId="15"/>
    <cellStyle name="Normal 12" xfId="17"/>
    <cellStyle name="Normal 2" xfId="10"/>
    <cellStyle name="Normal 2 2" xfId="16"/>
    <cellStyle name="Normal 23" xfId="4"/>
    <cellStyle name="Normal 3" xfId="2"/>
    <cellStyle name="Normal 3 2" xfId="12"/>
    <cellStyle name="Normal 4" xfId="14"/>
    <cellStyle name="Normal 5" xfId="3"/>
    <cellStyle name="Normal 5 2" xfId="13"/>
    <cellStyle name="Normal 5 4 4" xfId="7"/>
    <cellStyle name="Normal 95" xfId="5"/>
    <cellStyle name="Normal_bih-fiscal-june-26" xfId="9"/>
    <cellStyle name="Normal_Sheet3 2" xfId="6"/>
    <cellStyle name="Normal_Sheet3 2 2" xfId="8"/>
    <cellStyle name="Normal_Sheet3 3" xfId="11"/>
  </cellStyles>
  <dxfs count="0"/>
  <tableStyles count="0" defaultTableStyle="TableStyleMedium2" defaultPivotStyle="PivotStyleLight16"/>
  <colors>
    <mruColors>
      <color rgb="FF00FF00"/>
      <color rgb="FFCC00FF"/>
      <color rgb="FFFF0066"/>
      <color rgb="FF99FF99"/>
      <color rgb="FFCCECFF"/>
      <color rgb="FF0000FF"/>
      <color rgb="FFFFFF99"/>
      <color rgb="FFD7EAF4"/>
      <color rgb="FFFFFED8"/>
      <color rgb="FFEBF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M53"/>
  <sheetViews>
    <sheetView workbookViewId="0">
      <selection activeCell="B16" sqref="B16:F16"/>
    </sheetView>
  </sheetViews>
  <sheetFormatPr defaultColWidth="9" defaultRowHeight="15"/>
  <cols>
    <col min="1" max="5" width="9" style="229"/>
    <col min="6" max="6" width="10.125" style="229" customWidth="1"/>
    <col min="7" max="8" width="9" style="229"/>
    <col min="9" max="9" width="22.5" style="254" customWidth="1"/>
    <col min="10" max="10" width="9" style="229"/>
    <col min="11" max="11" width="15" style="229" bestFit="1" customWidth="1"/>
    <col min="12" max="16384" width="9" style="229"/>
  </cols>
  <sheetData>
    <row r="1" spans="2:11" ht="18">
      <c r="B1" s="226"/>
      <c r="C1" s="227"/>
      <c r="D1" s="227"/>
      <c r="E1" s="227"/>
      <c r="F1" s="227"/>
      <c r="G1" s="227"/>
      <c r="H1" s="227"/>
      <c r="I1" s="228">
        <v>1</v>
      </c>
      <c r="J1" s="227"/>
      <c r="K1" s="227"/>
    </row>
    <row r="2" spans="2:11" ht="19.5" thickBot="1">
      <c r="B2" s="387" t="s">
        <v>857</v>
      </c>
      <c r="C2" s="387"/>
      <c r="D2" s="387"/>
      <c r="E2" s="387"/>
      <c r="F2" s="387"/>
      <c r="G2" s="387"/>
      <c r="H2" s="387"/>
      <c r="I2" s="387"/>
      <c r="J2" s="227"/>
      <c r="K2" s="227"/>
    </row>
    <row r="3" spans="2:11">
      <c r="B3" s="388"/>
      <c r="C3" s="389"/>
      <c r="D3" s="389"/>
      <c r="E3" s="389"/>
      <c r="F3" s="389"/>
      <c r="G3" s="389" t="s">
        <v>858</v>
      </c>
      <c r="H3" s="389"/>
      <c r="I3" s="230"/>
      <c r="J3" s="231"/>
      <c r="K3" s="231"/>
    </row>
    <row r="4" spans="2:11">
      <c r="B4" s="390"/>
      <c r="C4" s="391"/>
      <c r="D4" s="391"/>
      <c r="E4" s="391"/>
      <c r="F4" s="391"/>
      <c r="G4" s="391"/>
      <c r="H4" s="391"/>
      <c r="I4" s="232"/>
      <c r="J4" s="233"/>
      <c r="K4" s="231"/>
    </row>
    <row r="5" spans="2:11">
      <c r="B5" s="383" t="s">
        <v>859</v>
      </c>
      <c r="C5" s="384"/>
      <c r="D5" s="384"/>
      <c r="E5" s="384"/>
      <c r="F5" s="384"/>
      <c r="G5" s="384"/>
      <c r="H5" s="384"/>
      <c r="I5" s="384"/>
      <c r="J5" s="231"/>
      <c r="K5" s="231"/>
    </row>
    <row r="6" spans="2:11">
      <c r="B6" s="377" t="s">
        <v>860</v>
      </c>
      <c r="C6" s="378"/>
      <c r="D6" s="378"/>
      <c r="E6" s="378"/>
      <c r="F6" s="379"/>
      <c r="G6" s="363" t="s">
        <v>861</v>
      </c>
      <c r="H6" s="364"/>
      <c r="I6" s="234"/>
      <c r="J6" s="235"/>
      <c r="K6" s="231"/>
    </row>
    <row r="7" spans="2:11">
      <c r="B7" s="377" t="s">
        <v>862</v>
      </c>
      <c r="C7" s="378"/>
      <c r="D7" s="378"/>
      <c r="E7" s="378"/>
      <c r="F7" s="379"/>
      <c r="G7" s="363" t="s">
        <v>863</v>
      </c>
      <c r="H7" s="364"/>
      <c r="I7" s="236"/>
      <c r="J7" s="235"/>
      <c r="K7" s="231"/>
    </row>
    <row r="8" spans="2:11">
      <c r="B8" s="377" t="s">
        <v>864</v>
      </c>
      <c r="C8" s="378"/>
      <c r="D8" s="378"/>
      <c r="E8" s="378"/>
      <c r="F8" s="379"/>
      <c r="G8" s="363" t="s">
        <v>865</v>
      </c>
      <c r="H8" s="364"/>
      <c r="I8" s="234"/>
      <c r="J8" s="235"/>
      <c r="K8" s="231"/>
    </row>
    <row r="9" spans="2:11">
      <c r="B9" s="377" t="s">
        <v>866</v>
      </c>
      <c r="C9" s="378"/>
      <c r="D9" s="378"/>
      <c r="E9" s="378"/>
      <c r="F9" s="379"/>
      <c r="G9" s="363" t="s">
        <v>867</v>
      </c>
      <c r="H9" s="364"/>
      <c r="I9" s="236"/>
      <c r="J9" s="235"/>
      <c r="K9" s="231"/>
    </row>
    <row r="10" spans="2:11">
      <c r="B10" s="377" t="s">
        <v>868</v>
      </c>
      <c r="C10" s="378"/>
      <c r="D10" s="378"/>
      <c r="E10" s="378"/>
      <c r="F10" s="379"/>
      <c r="G10" s="363" t="s">
        <v>869</v>
      </c>
      <c r="H10" s="364"/>
      <c r="I10" s="236"/>
      <c r="J10" s="235"/>
      <c r="K10" s="231"/>
    </row>
    <row r="11" spans="2:11">
      <c r="B11" s="383" t="s">
        <v>870</v>
      </c>
      <c r="C11" s="384"/>
      <c r="D11" s="384"/>
      <c r="E11" s="384"/>
      <c r="F11" s="384"/>
      <c r="G11" s="384"/>
      <c r="H11" s="384"/>
      <c r="I11" s="384"/>
      <c r="J11" s="237"/>
      <c r="K11" s="231"/>
    </row>
    <row r="12" spans="2:11">
      <c r="B12" s="365" t="s">
        <v>871</v>
      </c>
      <c r="C12" s="366"/>
      <c r="D12" s="366"/>
      <c r="E12" s="366"/>
      <c r="F12" s="367"/>
      <c r="G12" s="363" t="s">
        <v>872</v>
      </c>
      <c r="H12" s="364"/>
      <c r="I12" s="238">
        <f>I27</f>
        <v>3152491217.7600002</v>
      </c>
      <c r="J12" s="235"/>
      <c r="K12" s="231"/>
    </row>
    <row r="13" spans="2:11">
      <c r="B13" s="365" t="s">
        <v>873</v>
      </c>
      <c r="C13" s="366"/>
      <c r="D13" s="366"/>
      <c r="E13" s="366"/>
      <c r="F13" s="367"/>
      <c r="G13" s="363" t="s">
        <v>874</v>
      </c>
      <c r="H13" s="364"/>
      <c r="I13" s="238">
        <f>I38</f>
        <v>2788994546.79</v>
      </c>
      <c r="J13" s="235"/>
      <c r="K13" s="231"/>
    </row>
    <row r="14" spans="2:11">
      <c r="B14" s="377" t="s">
        <v>875</v>
      </c>
      <c r="C14" s="378"/>
      <c r="D14" s="378"/>
      <c r="E14" s="378"/>
      <c r="F14" s="379"/>
      <c r="G14" s="363" t="s">
        <v>876</v>
      </c>
      <c r="H14" s="364"/>
      <c r="I14" s="238">
        <f>I12-I13</f>
        <v>363496670.97000027</v>
      </c>
      <c r="J14" s="235"/>
      <c r="K14" s="239"/>
    </row>
    <row r="15" spans="2:11">
      <c r="B15" s="377" t="s">
        <v>877</v>
      </c>
      <c r="C15" s="378"/>
      <c r="D15" s="378"/>
      <c r="E15" s="378"/>
      <c r="F15" s="379"/>
      <c r="G15" s="385" t="s">
        <v>878</v>
      </c>
      <c r="H15" s="386"/>
      <c r="I15" s="238">
        <f>I34</f>
        <v>67885602.640000001</v>
      </c>
      <c r="J15" s="231"/>
      <c r="K15" s="240"/>
    </row>
    <row r="16" spans="2:11">
      <c r="B16" s="377" t="s">
        <v>879</v>
      </c>
      <c r="C16" s="378"/>
      <c r="D16" s="378"/>
      <c r="E16" s="378"/>
      <c r="F16" s="379"/>
      <c r="G16" s="363"/>
      <c r="H16" s="364"/>
      <c r="I16" s="234" t="s">
        <v>880</v>
      </c>
      <c r="J16" s="231"/>
      <c r="K16" s="231"/>
    </row>
    <row r="17" spans="1:13">
      <c r="B17" s="365" t="s">
        <v>881</v>
      </c>
      <c r="C17" s="366"/>
      <c r="D17" s="366"/>
      <c r="E17" s="366"/>
      <c r="F17" s="367"/>
      <c r="G17" s="363"/>
      <c r="H17" s="364"/>
      <c r="I17" s="241">
        <f>SUM(I14:I15)</f>
        <v>431382273.61000025</v>
      </c>
      <c r="J17" s="231"/>
      <c r="K17" s="231"/>
      <c r="L17" s="231"/>
      <c r="M17" s="231"/>
    </row>
    <row r="18" spans="1:13">
      <c r="B18" s="377" t="s">
        <v>882</v>
      </c>
      <c r="C18" s="378"/>
      <c r="D18" s="378"/>
      <c r="E18" s="378"/>
      <c r="F18" s="379"/>
      <c r="G18" s="363"/>
      <c r="H18" s="364"/>
      <c r="I18" s="234"/>
      <c r="J18" s="240"/>
      <c r="K18" s="231"/>
      <c r="L18" s="231"/>
      <c r="M18" s="231"/>
    </row>
    <row r="19" spans="1:13">
      <c r="B19" s="383" t="s">
        <v>883</v>
      </c>
      <c r="C19" s="384"/>
      <c r="D19" s="384"/>
      <c r="E19" s="384"/>
      <c r="F19" s="384"/>
      <c r="G19" s="384"/>
      <c r="H19" s="384"/>
      <c r="I19" s="384"/>
      <c r="J19" s="231"/>
      <c r="K19" s="231"/>
      <c r="L19" s="231"/>
      <c r="M19" s="231"/>
    </row>
    <row r="20" spans="1:13">
      <c r="B20" s="377" t="s">
        <v>884</v>
      </c>
      <c r="C20" s="378"/>
      <c r="D20" s="378"/>
      <c r="E20" s="378"/>
      <c r="F20" s="379"/>
      <c r="G20" s="363"/>
      <c r="H20" s="364"/>
      <c r="I20" s="242">
        <f>SUM(I21:I22)</f>
        <v>1464401791.04</v>
      </c>
      <c r="J20" s="240"/>
      <c r="K20" s="240"/>
      <c r="L20" s="240"/>
      <c r="M20" s="240"/>
    </row>
    <row r="21" spans="1:13">
      <c r="A21" s="229" t="s">
        <v>791</v>
      </c>
      <c r="B21" s="377" t="s">
        <v>885</v>
      </c>
      <c r="C21" s="378"/>
      <c r="D21" s="378"/>
      <c r="E21" s="378"/>
      <c r="F21" s="379"/>
      <c r="G21" s="363" t="s">
        <v>791</v>
      </c>
      <c r="H21" s="364"/>
      <c r="I21" s="243">
        <f>(SUMIFS(KONSOLIDIRANA!$K$15:$K$490,KONSOLIDIRANA!$B$15:$B$490,"="&amp;A21)-SUMIFS(KONSOLIDIRANA!$K$15:$K$490,KONSOLIDIRANA!$A$15:$A$490,"="&amp;A21))/$I$1</f>
        <v>1104002578.0799999</v>
      </c>
      <c r="J21" s="231"/>
      <c r="K21" s="231"/>
      <c r="L21" s="231"/>
      <c r="M21" s="231"/>
    </row>
    <row r="22" spans="1:13">
      <c r="A22" s="229" t="s">
        <v>789</v>
      </c>
      <c r="B22" s="377" t="s">
        <v>886</v>
      </c>
      <c r="C22" s="378"/>
      <c r="D22" s="378"/>
      <c r="E22" s="378"/>
      <c r="F22" s="379"/>
      <c r="G22" s="363" t="s">
        <v>789</v>
      </c>
      <c r="H22" s="364"/>
      <c r="I22" s="243">
        <f>(SUMIFS(KONSOLIDIRANA!$K$15:$K$490,KONSOLIDIRANA!$B$15:$B$490,"="&amp;A22)-SUMIFS(KONSOLIDIRANA!$K$15:$K$490,KONSOLIDIRANA!$A$15:$A$490,"="&amp;A22))/$I$1</f>
        <v>360399212.95999998</v>
      </c>
      <c r="J22" s="231"/>
      <c r="K22" s="231"/>
      <c r="L22" s="231"/>
      <c r="M22" s="231"/>
    </row>
    <row r="23" spans="1:13">
      <c r="A23" s="229" t="s">
        <v>792</v>
      </c>
      <c r="B23" s="377" t="s">
        <v>887</v>
      </c>
      <c r="C23" s="378"/>
      <c r="D23" s="378"/>
      <c r="E23" s="378"/>
      <c r="F23" s="379"/>
      <c r="G23" s="363" t="s">
        <v>888</v>
      </c>
      <c r="H23" s="364"/>
      <c r="I23" s="243">
        <f>(SUMIFS(KONSOLIDIRANA!$K$15:$K$490,KONSOLIDIRANA!$B$15:$B$490,"="&amp;A23)-SUMIFS(KONSOLIDIRANA!$K$15:$K$490,KONSOLIDIRANA!$A$15:$A$490,"="&amp;A23))/$I$1</f>
        <v>5445442.6699999999</v>
      </c>
      <c r="J23" s="231"/>
      <c r="K23" s="231"/>
      <c r="L23" s="231"/>
      <c r="M23" s="231"/>
    </row>
    <row r="24" spans="1:13">
      <c r="A24" s="332" t="s">
        <v>790</v>
      </c>
      <c r="B24" s="377" t="s">
        <v>890</v>
      </c>
      <c r="C24" s="378"/>
      <c r="D24" s="378"/>
      <c r="E24" s="378"/>
      <c r="F24" s="379"/>
      <c r="G24" s="363" t="s">
        <v>889</v>
      </c>
      <c r="H24" s="364"/>
      <c r="I24" s="243">
        <f>(SUMIFS(KONSOLIDIRANA!$K$15:$K$490,KONSOLIDIRANA!$B$15:$B$490,"="&amp;A24)-SUMIFS(KONSOLIDIRANA!$K$15:$K$490,KONSOLIDIRANA!$A$15:$A$490,"="&amp;A24))/$I$1</f>
        <v>1306855009.2099998</v>
      </c>
      <c r="J24" s="231"/>
      <c r="K24" s="231"/>
      <c r="L24" s="231"/>
      <c r="M24" s="231"/>
    </row>
    <row r="25" spans="1:13">
      <c r="A25" s="229" t="s">
        <v>795</v>
      </c>
      <c r="B25" s="377" t="s">
        <v>891</v>
      </c>
      <c r="C25" s="378"/>
      <c r="D25" s="378"/>
      <c r="E25" s="378"/>
      <c r="F25" s="379"/>
      <c r="G25" s="363" t="s">
        <v>892</v>
      </c>
      <c r="H25" s="364"/>
      <c r="I25" s="243">
        <f>(SUMIFS(KONSOLIDIRANA!$K$15:$K$490,KONSOLIDIRANA!$B$15:$B$490,"="&amp;A25)-SUMIFS(KONSOLIDIRANA!$K$15:$K$490,KONSOLIDIRANA!$A$15:$A$490,"="&amp;A25))/$I$1</f>
        <v>706544</v>
      </c>
      <c r="J25" s="231"/>
      <c r="K25" s="231"/>
      <c r="L25" s="231"/>
      <c r="M25" s="231"/>
    </row>
    <row r="26" spans="1:13">
      <c r="A26" s="229" t="s">
        <v>793</v>
      </c>
      <c r="B26" s="377" t="s">
        <v>893</v>
      </c>
      <c r="C26" s="378"/>
      <c r="D26" s="378"/>
      <c r="E26" s="378"/>
      <c r="F26" s="379"/>
      <c r="G26" s="380"/>
      <c r="H26" s="381"/>
      <c r="I26" s="243">
        <f>(SUMIFS(KONSOLIDIRANA!$K$15:$K$490,KONSOLIDIRANA!$B$15:$B$490,"="&amp;A26)-SUMIFS(KONSOLIDIRANA!$K$15:$K$490,KONSOLIDIRANA!$A$15:$A$490,"="&amp;A26))/$I$1</f>
        <v>375082430.84000021</v>
      </c>
      <c r="J26" s="244"/>
      <c r="K26" s="231"/>
      <c r="L26" s="231"/>
      <c r="M26" s="231"/>
    </row>
    <row r="27" spans="1:13">
      <c r="B27" s="365" t="s">
        <v>894</v>
      </c>
      <c r="C27" s="366"/>
      <c r="D27" s="366"/>
      <c r="E27" s="366"/>
      <c r="F27" s="367"/>
      <c r="G27" s="363" t="s">
        <v>872</v>
      </c>
      <c r="H27" s="364"/>
      <c r="I27" s="245">
        <f>SUM(I21:I26)</f>
        <v>3152491217.7600002</v>
      </c>
      <c r="J27" s="231"/>
      <c r="K27" s="246">
        <f>I27-HRT!F4</f>
        <v>0</v>
      </c>
      <c r="L27" s="231"/>
      <c r="M27" s="231"/>
    </row>
    <row r="28" spans="1:13">
      <c r="B28" s="382" t="s">
        <v>895</v>
      </c>
      <c r="C28" s="378"/>
      <c r="D28" s="378"/>
      <c r="E28" s="378"/>
      <c r="F28" s="379"/>
      <c r="G28" s="363"/>
      <c r="H28" s="364"/>
      <c r="I28" s="234"/>
      <c r="J28" s="231"/>
      <c r="K28" s="231"/>
      <c r="L28" s="231"/>
      <c r="M28" s="231"/>
    </row>
    <row r="29" spans="1:13">
      <c r="B29" s="383" t="s">
        <v>896</v>
      </c>
      <c r="C29" s="384"/>
      <c r="D29" s="384"/>
      <c r="E29" s="384"/>
      <c r="F29" s="384"/>
      <c r="G29" s="384"/>
      <c r="H29" s="384"/>
      <c r="I29" s="384"/>
      <c r="J29" s="231"/>
      <c r="K29" s="231"/>
      <c r="L29" s="231"/>
      <c r="M29" s="231"/>
    </row>
    <row r="30" spans="1:13">
      <c r="A30" s="229" t="s">
        <v>897</v>
      </c>
      <c r="B30" s="360" t="s">
        <v>898</v>
      </c>
      <c r="C30" s="361"/>
      <c r="D30" s="361"/>
      <c r="E30" s="361"/>
      <c r="F30" s="362"/>
      <c r="G30" s="375" t="s">
        <v>897</v>
      </c>
      <c r="H30" s="376"/>
      <c r="I30" s="247" t="s">
        <v>880</v>
      </c>
      <c r="J30" s="231"/>
      <c r="K30" s="231"/>
      <c r="L30" s="231"/>
      <c r="M30" s="231"/>
    </row>
    <row r="31" spans="1:13">
      <c r="B31" s="360" t="s">
        <v>899</v>
      </c>
      <c r="C31" s="361"/>
      <c r="D31" s="361"/>
      <c r="E31" s="361"/>
      <c r="F31" s="362"/>
      <c r="G31" s="375" t="s">
        <v>900</v>
      </c>
      <c r="H31" s="376"/>
      <c r="I31" s="248">
        <f>SUM(I32:I33)</f>
        <v>1203459162.1900003</v>
      </c>
      <c r="J31" s="231"/>
      <c r="K31" s="231"/>
      <c r="L31" s="231"/>
      <c r="M31" s="231"/>
    </row>
    <row r="32" spans="1:13">
      <c r="A32" s="229" t="s">
        <v>901</v>
      </c>
      <c r="B32" s="360" t="s">
        <v>902</v>
      </c>
      <c r="C32" s="361"/>
      <c r="D32" s="361"/>
      <c r="E32" s="361"/>
      <c r="F32" s="362"/>
      <c r="G32" s="375" t="s">
        <v>903</v>
      </c>
      <c r="H32" s="376"/>
      <c r="I32" s="249" t="s">
        <v>880</v>
      </c>
      <c r="J32" s="231"/>
      <c r="K32" s="231"/>
      <c r="L32" s="231"/>
      <c r="M32" s="231"/>
    </row>
    <row r="33" spans="1:11">
      <c r="A33" s="229" t="s">
        <v>798</v>
      </c>
      <c r="B33" s="360" t="s">
        <v>904</v>
      </c>
      <c r="C33" s="361"/>
      <c r="D33" s="361"/>
      <c r="E33" s="361"/>
      <c r="F33" s="362"/>
      <c r="G33" s="375" t="s">
        <v>798</v>
      </c>
      <c r="H33" s="376"/>
      <c r="I33" s="243">
        <f>(SUMIFS(KONSOLIDIRANA!$K$15:$K$490,KONSOLIDIRANA!$B$15:$B$490,"="&amp;A33)-SUMIFS(KONSOLIDIRANA!$K$15:$K$490,KONSOLIDIRANA!$A$15:$A$490,"="&amp;A33))/$I$1</f>
        <v>1203459162.1900003</v>
      </c>
    </row>
    <row r="34" spans="1:11">
      <c r="A34" s="229" t="s">
        <v>799</v>
      </c>
      <c r="B34" s="360" t="s">
        <v>905</v>
      </c>
      <c r="C34" s="361"/>
      <c r="D34" s="361"/>
      <c r="E34" s="361"/>
      <c r="F34" s="362"/>
      <c r="G34" s="375" t="s">
        <v>906</v>
      </c>
      <c r="H34" s="376"/>
      <c r="I34" s="243">
        <f>(SUMIFS(KONSOLIDIRANA!$K$15:$K$490,KONSOLIDIRANA!$B$15:$B$490,"="&amp;A34)-SUMIFS(KONSOLIDIRANA!$K$15:$K$490,KONSOLIDIRANA!$A$15:$A$490,"="&amp;A34))/$I$1</f>
        <v>67885602.640000001</v>
      </c>
    </row>
    <row r="35" spans="1:11">
      <c r="A35" s="229" t="s">
        <v>801</v>
      </c>
      <c r="B35" s="360" t="s">
        <v>907</v>
      </c>
      <c r="C35" s="361"/>
      <c r="D35" s="361"/>
      <c r="E35" s="361"/>
      <c r="F35" s="362"/>
      <c r="G35" s="375" t="s">
        <v>908</v>
      </c>
      <c r="H35" s="376"/>
      <c r="I35" s="243">
        <f>(SUMIFS(KONSOLIDIRANA!$K$15:$K$490,KONSOLIDIRANA!$B$15:$B$490,"="&amp;A35)-SUMIFS(KONSOLIDIRANA!$K$15:$K$490,KONSOLIDIRANA!$A$15:$A$490,"="&amp;A35))/$I$1</f>
        <v>58209704.599999994</v>
      </c>
    </row>
    <row r="36" spans="1:11">
      <c r="A36" s="229" t="s">
        <v>796</v>
      </c>
      <c r="B36" s="360" t="s">
        <v>909</v>
      </c>
      <c r="C36" s="361"/>
      <c r="D36" s="361"/>
      <c r="E36" s="361"/>
      <c r="F36" s="362"/>
      <c r="G36" s="375" t="s">
        <v>796</v>
      </c>
      <c r="H36" s="376"/>
      <c r="I36" s="243">
        <f>(SUMIFS(KONSOLIDIRANA!$K$15:$K$490,KONSOLIDIRANA!$B$15:$B$490,"="&amp;A36)-SUMIFS(KONSOLIDIRANA!$K$15:$K$490,KONSOLIDIRANA!$A$15:$A$490,"="&amp;A36))/$I$1</f>
        <v>49659517.209999993</v>
      </c>
    </row>
    <row r="37" spans="1:11">
      <c r="A37" s="229" t="s">
        <v>797</v>
      </c>
      <c r="B37" s="360" t="s">
        <v>910</v>
      </c>
      <c r="C37" s="361"/>
      <c r="D37" s="361"/>
      <c r="E37" s="361"/>
      <c r="F37" s="362"/>
      <c r="G37" s="363"/>
      <c r="H37" s="364"/>
      <c r="I37" s="243">
        <f>(SUMIFS(KONSOLIDIRANA!$K$15:$K$490,KONSOLIDIRANA!$B$15:$B$490,"="&amp;A37)-SUMIFS(KONSOLIDIRANA!$K$15:$K$490,KONSOLIDIRANA!$A$15:$A$490,"="&amp;A37))/$I$1</f>
        <v>1409780560.1499999</v>
      </c>
    </row>
    <row r="38" spans="1:11">
      <c r="B38" s="365" t="s">
        <v>911</v>
      </c>
      <c r="C38" s="366"/>
      <c r="D38" s="366"/>
      <c r="E38" s="366"/>
      <c r="F38" s="367"/>
      <c r="G38" s="368" t="s">
        <v>874</v>
      </c>
      <c r="H38" s="369"/>
      <c r="I38" s="245">
        <f>SUM(I34:I37,I31,I30)</f>
        <v>2788994546.79</v>
      </c>
      <c r="K38" s="246">
        <f>I38-HRT!F53</f>
        <v>0</v>
      </c>
    </row>
    <row r="39" spans="1:11" ht="15.75" thickBot="1">
      <c r="B39" s="370" t="s">
        <v>912</v>
      </c>
      <c r="C39" s="371"/>
      <c r="D39" s="371"/>
      <c r="E39" s="371"/>
      <c r="F39" s="372"/>
      <c r="G39" s="373" t="s">
        <v>913</v>
      </c>
      <c r="H39" s="374"/>
      <c r="I39" s="250"/>
    </row>
    <row r="40" spans="1:11">
      <c r="B40" s="231"/>
      <c r="C40" s="231"/>
      <c r="D40" s="231"/>
      <c r="E40" s="231"/>
      <c r="F40" s="231"/>
      <c r="G40" s="231"/>
      <c r="H40" s="231"/>
      <c r="I40" s="251"/>
    </row>
    <row r="41" spans="1:11">
      <c r="B41" s="227"/>
      <c r="C41" s="227"/>
      <c r="D41" s="227"/>
      <c r="E41" s="227"/>
      <c r="F41" s="227"/>
      <c r="G41" s="227"/>
      <c r="H41" s="227"/>
      <c r="I41" s="252"/>
    </row>
    <row r="42" spans="1:11">
      <c r="B42" s="227"/>
      <c r="C42" s="227"/>
      <c r="D42" s="227"/>
      <c r="E42" s="227"/>
      <c r="F42" s="227"/>
      <c r="G42" s="227"/>
      <c r="H42" s="227"/>
      <c r="I42" s="252"/>
    </row>
    <row r="44" spans="1:11">
      <c r="B44" s="253" t="s">
        <v>914</v>
      </c>
      <c r="C44" s="227"/>
      <c r="D44" s="227"/>
      <c r="E44" s="227"/>
      <c r="F44" s="227"/>
      <c r="G44" s="227"/>
      <c r="H44" s="227"/>
      <c r="I44" s="252"/>
    </row>
    <row r="45" spans="1:11">
      <c r="B45" s="253" t="s">
        <v>915</v>
      </c>
      <c r="C45" s="227"/>
      <c r="D45" s="227"/>
      <c r="E45" s="227"/>
      <c r="F45" s="227"/>
      <c r="G45" s="227"/>
      <c r="H45" s="227"/>
      <c r="I45" s="252"/>
    </row>
    <row r="46" spans="1:11">
      <c r="B46" s="227"/>
      <c r="C46" s="227"/>
      <c r="D46" s="227"/>
      <c r="E46" s="227"/>
      <c r="F46" s="227"/>
      <c r="G46" s="227"/>
      <c r="H46" s="227"/>
      <c r="I46" s="252"/>
    </row>
    <row r="47" spans="1:11">
      <c r="B47" s="253" t="s">
        <v>916</v>
      </c>
      <c r="C47" s="227"/>
      <c r="D47" s="227"/>
      <c r="E47" s="227"/>
      <c r="F47" s="227"/>
      <c r="G47" s="227"/>
      <c r="H47" s="227"/>
      <c r="I47" s="252"/>
    </row>
    <row r="49" spans="2:2">
      <c r="B49" s="253" t="s">
        <v>917</v>
      </c>
    </row>
    <row r="50" spans="2:2">
      <c r="B50" s="253" t="s">
        <v>918</v>
      </c>
    </row>
    <row r="52" spans="2:2">
      <c r="B52" s="253" t="s">
        <v>919</v>
      </c>
    </row>
    <row r="53" spans="2:2">
      <c r="B53" s="227" t="s">
        <v>920</v>
      </c>
    </row>
  </sheetData>
  <mergeCells count="69">
    <mergeCell ref="B2:I2"/>
    <mergeCell ref="B3:F4"/>
    <mergeCell ref="G3:H4"/>
    <mergeCell ref="B5:I5"/>
    <mergeCell ref="B6:F6"/>
    <mergeCell ref="G6:H6"/>
    <mergeCell ref="B13:F13"/>
    <mergeCell ref="G13:H13"/>
    <mergeCell ref="B7:F7"/>
    <mergeCell ref="G7:H7"/>
    <mergeCell ref="B8:F8"/>
    <mergeCell ref="G8:H8"/>
    <mergeCell ref="B9:F9"/>
    <mergeCell ref="G9:H9"/>
    <mergeCell ref="B10:F10"/>
    <mergeCell ref="G10:H10"/>
    <mergeCell ref="B11:I11"/>
    <mergeCell ref="B12:F12"/>
    <mergeCell ref="G12:H12"/>
    <mergeCell ref="B20:F20"/>
    <mergeCell ref="G20:H20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I19"/>
    <mergeCell ref="B21:F21"/>
    <mergeCell ref="G21:H21"/>
    <mergeCell ref="B22:F22"/>
    <mergeCell ref="G22:H22"/>
    <mergeCell ref="B23:F23"/>
    <mergeCell ref="G23:H23"/>
    <mergeCell ref="B30:F30"/>
    <mergeCell ref="G30:H30"/>
    <mergeCell ref="B24:F24"/>
    <mergeCell ref="G24:H24"/>
    <mergeCell ref="B25:F25"/>
    <mergeCell ref="G25:H25"/>
    <mergeCell ref="B26:F26"/>
    <mergeCell ref="G26:H26"/>
    <mergeCell ref="B27:F27"/>
    <mergeCell ref="G27:H27"/>
    <mergeCell ref="B28:F28"/>
    <mergeCell ref="G28:H28"/>
    <mergeCell ref="B29:I29"/>
    <mergeCell ref="B31:F31"/>
    <mergeCell ref="G31:H31"/>
    <mergeCell ref="B32:F32"/>
    <mergeCell ref="G32:H32"/>
    <mergeCell ref="B33:F33"/>
    <mergeCell ref="G33:H33"/>
    <mergeCell ref="B34:F34"/>
    <mergeCell ref="G34:H34"/>
    <mergeCell ref="B35:F35"/>
    <mergeCell ref="G35:H35"/>
    <mergeCell ref="B36:F36"/>
    <mergeCell ref="G36:H36"/>
    <mergeCell ref="B37:F37"/>
    <mergeCell ref="G37:H37"/>
    <mergeCell ref="B38:F38"/>
    <mergeCell ref="G38:H38"/>
    <mergeCell ref="B39:F39"/>
    <mergeCell ref="G39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99"/>
  </sheetPr>
  <dimension ref="A3:I203"/>
  <sheetViews>
    <sheetView topLeftCell="D1" zoomScaleNormal="100" workbookViewId="0">
      <selection activeCell="F4" sqref="F4:F199"/>
    </sheetView>
  </sheetViews>
  <sheetFormatPr defaultColWidth="10.875" defaultRowHeight="15.75"/>
  <cols>
    <col min="1" max="1" width="15.875" style="1" customWidth="1"/>
    <col min="2" max="2" width="10.875" style="4" customWidth="1"/>
    <col min="3" max="3" width="10.875" style="1" hidden="1" customWidth="1"/>
    <col min="4" max="4" width="60.5" style="8" customWidth="1"/>
    <col min="5" max="5" width="37.875" style="8" customWidth="1"/>
    <col min="6" max="6" width="20.625" style="1" customWidth="1"/>
    <col min="7" max="7" width="11.5" style="1" bestFit="1" customWidth="1"/>
    <col min="8" max="9" width="14.625" style="1" bestFit="1" customWidth="1"/>
    <col min="10" max="16384" width="10.875" style="1"/>
  </cols>
  <sheetData>
    <row r="3" spans="1:8">
      <c r="F3" s="331" t="s">
        <v>964</v>
      </c>
    </row>
    <row r="4" spans="1:8" ht="15.95" customHeight="1">
      <c r="A4" s="19" t="s">
        <v>36</v>
      </c>
      <c r="B4" s="20">
        <v>1</v>
      </c>
      <c r="C4" s="21">
        <v>1</v>
      </c>
      <c r="D4" s="85" t="s">
        <v>265</v>
      </c>
      <c r="E4" s="22" t="s">
        <v>264</v>
      </c>
      <c r="F4" s="9">
        <f>SUM(F5,F20,F21,F42)</f>
        <v>3152491217.7600002</v>
      </c>
      <c r="H4" s="84">
        <f>KONSOLIDIRANA!K16-KONSOLIDIRANA!K54-KONSOLIDIRANA!K69-KONSOLIDIRANA!K48-KONSOLIDIRANA!K53-F4</f>
        <v>0</v>
      </c>
    </row>
    <row r="5" spans="1:8" ht="15.95" customHeight="1">
      <c r="A5" s="23" t="s">
        <v>36</v>
      </c>
      <c r="B5" s="24">
        <v>11</v>
      </c>
      <c r="C5" s="25">
        <v>11</v>
      </c>
      <c r="D5" s="86" t="s">
        <v>267</v>
      </c>
      <c r="E5" s="26" t="s">
        <v>266</v>
      </c>
      <c r="F5" s="10">
        <f>SUM(F6,F18:F19)</f>
        <v>1469847233.71</v>
      </c>
    </row>
    <row r="6" spans="1:8" ht="15.95" customHeight="1">
      <c r="A6" s="23" t="s">
        <v>36</v>
      </c>
      <c r="B6" s="24" t="s">
        <v>268</v>
      </c>
      <c r="C6" s="25"/>
      <c r="D6" s="87" t="s">
        <v>270</v>
      </c>
      <c r="E6" s="27" t="s">
        <v>269</v>
      </c>
      <c r="F6" s="10">
        <f>SUM(F7,F11:F12)</f>
        <v>370288017.28000003</v>
      </c>
    </row>
    <row r="7" spans="1:8" ht="15.95" customHeight="1">
      <c r="A7" s="23" t="s">
        <v>36</v>
      </c>
      <c r="B7" s="24">
        <v>111</v>
      </c>
      <c r="C7" s="25">
        <v>111</v>
      </c>
      <c r="D7" s="88" t="s">
        <v>272</v>
      </c>
      <c r="E7" s="28" t="s">
        <v>271</v>
      </c>
      <c r="F7" s="10">
        <f>SUM(F8:F10)</f>
        <v>347173095.50999999</v>
      </c>
    </row>
    <row r="8" spans="1:8" ht="15.95" customHeight="1">
      <c r="A8" s="23" t="s">
        <v>822</v>
      </c>
      <c r="B8" s="24" t="s">
        <v>262</v>
      </c>
      <c r="C8" s="25">
        <v>1111</v>
      </c>
      <c r="D8" s="89" t="s">
        <v>274</v>
      </c>
      <c r="E8" s="28" t="s">
        <v>273</v>
      </c>
      <c r="F8" s="11">
        <f>SUMIFS(KONSOLIDIRANA!$K$15:$K$491,KONSOLIDIRANA!$D$15:$D$491,"="&amp;HRT!$B8)</f>
        <v>182575117.12</v>
      </c>
    </row>
    <row r="9" spans="1:8" ht="15.95" customHeight="1">
      <c r="A9" s="23" t="s">
        <v>823</v>
      </c>
      <c r="B9" s="24" t="s">
        <v>261</v>
      </c>
      <c r="C9" s="25">
        <v>1112</v>
      </c>
      <c r="D9" s="89" t="s">
        <v>6</v>
      </c>
      <c r="E9" s="29" t="s">
        <v>275</v>
      </c>
      <c r="F9" s="11">
        <f>SUMIFS(KONSOLIDIRANA!$K$15:$K$491,KONSOLIDIRANA!$D$15:$D$491,"="&amp;HRT!$B9)</f>
        <v>164597978.38999999</v>
      </c>
    </row>
    <row r="10" spans="1:8" ht="15.95" customHeight="1">
      <c r="A10" s="23" t="s">
        <v>36</v>
      </c>
      <c r="B10" s="24">
        <v>1113</v>
      </c>
      <c r="C10" s="25">
        <v>1113</v>
      </c>
      <c r="D10" s="89" t="s">
        <v>277</v>
      </c>
      <c r="E10" s="28" t="s">
        <v>276</v>
      </c>
      <c r="F10" s="11">
        <f>SUMIFS(KONSOLIDIRANA!$K$15:$K$491,KONSOLIDIRANA!$D$15:$D$491,"="&amp;HRT!$B10)</f>
        <v>0</v>
      </c>
    </row>
    <row r="11" spans="1:8" ht="15.95" customHeight="1">
      <c r="A11" s="23" t="s">
        <v>812</v>
      </c>
      <c r="B11" s="24">
        <v>112</v>
      </c>
      <c r="C11" s="25">
        <v>112</v>
      </c>
      <c r="D11" s="88" t="s">
        <v>279</v>
      </c>
      <c r="E11" s="28" t="s">
        <v>278</v>
      </c>
      <c r="F11" s="12">
        <f>SUMIFS(KONSOLIDIRANA!$K$15:$K$491,KONSOLIDIRANA!$D$15:$D$491,"="&amp;HRT!$B11)-SUMIFS(KONSOLIDIRANA!$K$15:$K$491,KONSOLIDIRANA!$C$15:$C$491,"="&amp;HRT!$B11)</f>
        <v>277709.84999999998</v>
      </c>
    </row>
    <row r="12" spans="1:8" ht="15.95" customHeight="1">
      <c r="A12" s="23" t="s">
        <v>36</v>
      </c>
      <c r="B12" s="24">
        <v>113</v>
      </c>
      <c r="C12" s="25">
        <v>113</v>
      </c>
      <c r="D12" s="88" t="s">
        <v>281</v>
      </c>
      <c r="E12" s="28" t="s">
        <v>280</v>
      </c>
      <c r="F12" s="10">
        <f>SUM(F13:F17)</f>
        <v>22837211.920000002</v>
      </c>
    </row>
    <row r="13" spans="1:8" ht="15.95" customHeight="1">
      <c r="A13" s="23" t="s">
        <v>824</v>
      </c>
      <c r="B13" s="24">
        <v>1131</v>
      </c>
      <c r="C13" s="25">
        <v>1131</v>
      </c>
      <c r="D13" s="89" t="s">
        <v>283</v>
      </c>
      <c r="E13" s="30" t="s">
        <v>282</v>
      </c>
      <c r="F13" s="12">
        <f>SUMIFS(KONSOLIDIRANA!$K$15:$K$491,KONSOLIDIRANA!$D$15:$D$491,"="&amp;HRT!$B13)-SUMIFS(KONSOLIDIRANA!$K$15:$K$491,KONSOLIDIRANA!$C$15:$C$491,"="&amp;HRT!$B13)</f>
        <v>17391769.25</v>
      </c>
    </row>
    <row r="14" spans="1:8" ht="15.95" customHeight="1">
      <c r="A14" s="23" t="s">
        <v>36</v>
      </c>
      <c r="B14" s="24">
        <v>1132</v>
      </c>
      <c r="C14" s="25">
        <v>1132</v>
      </c>
      <c r="D14" s="89" t="s">
        <v>285</v>
      </c>
      <c r="E14" s="31" t="s">
        <v>284</v>
      </c>
      <c r="F14" s="11">
        <f>SUMIFS(KONSOLIDIRANA!$K$15:$K$491,KONSOLIDIRANA!$D$15:$D$491,"="&amp;HRT!$B14)</f>
        <v>0</v>
      </c>
    </row>
    <row r="15" spans="1:8" ht="15.95" customHeight="1">
      <c r="A15" s="23" t="s">
        <v>707</v>
      </c>
      <c r="B15" s="24">
        <v>1133</v>
      </c>
      <c r="C15" s="25">
        <v>1133</v>
      </c>
      <c r="D15" s="89" t="s">
        <v>287</v>
      </c>
      <c r="E15" s="31" t="s">
        <v>286</v>
      </c>
      <c r="F15" s="11">
        <f>SUMIFS(KONSOLIDIRANA!$K$15:$K$491,KONSOLIDIRANA!$D$15:$D$491,"="&amp;HRT!$B15)</f>
        <v>5445442.6699999999</v>
      </c>
    </row>
    <row r="16" spans="1:8" ht="15.95" customHeight="1">
      <c r="A16" s="23" t="s">
        <v>36</v>
      </c>
      <c r="B16" s="24">
        <v>1134</v>
      </c>
      <c r="C16" s="25">
        <v>1134</v>
      </c>
      <c r="D16" s="89" t="s">
        <v>289</v>
      </c>
      <c r="E16" s="31" t="s">
        <v>288</v>
      </c>
      <c r="F16" s="11">
        <f>SUMIFS(KONSOLIDIRANA!$K$15:$K$491,KONSOLIDIRANA!$D$15:$D$491,"="&amp;HRT!$B16)</f>
        <v>0</v>
      </c>
    </row>
    <row r="17" spans="1:8" ht="15.95" customHeight="1">
      <c r="A17" s="23" t="s">
        <v>36</v>
      </c>
      <c r="B17" s="24">
        <v>1135</v>
      </c>
      <c r="C17" s="25">
        <v>1135</v>
      </c>
      <c r="D17" s="89" t="s">
        <v>291</v>
      </c>
      <c r="E17" s="31" t="s">
        <v>290</v>
      </c>
      <c r="F17" s="11">
        <f>SUMIFS(KONSOLIDIRANA!$K$15:$K$491,KONSOLIDIRANA!$D$15:$D$491,"="&amp;HRT!$B17)</f>
        <v>0</v>
      </c>
    </row>
    <row r="18" spans="1:8" ht="15.95" customHeight="1">
      <c r="A18" s="23" t="s">
        <v>828</v>
      </c>
      <c r="B18" s="24" t="s">
        <v>292</v>
      </c>
      <c r="C18" s="25" t="s">
        <v>293</v>
      </c>
      <c r="D18" s="87" t="s">
        <v>295</v>
      </c>
      <c r="E18" s="27" t="s">
        <v>294</v>
      </c>
      <c r="F18" s="12">
        <f>SUMIFS(KONSOLIDIRANA!$K$15:$K$491,KONSOLIDIRANA!$D$15:$D$491,"="&amp;HRT!$B18)-SUMIFS(KONSOLIDIRANA!$K$15:$K$491,KONSOLIDIRANA!$C$15:$C$491,"="&amp;HRT!$B18)</f>
        <v>1099411748.6700001</v>
      </c>
    </row>
    <row r="19" spans="1:8" ht="15.95" customHeight="1">
      <c r="A19" s="23" t="s">
        <v>706</v>
      </c>
      <c r="B19" s="24">
        <v>116</v>
      </c>
      <c r="C19" s="25">
        <v>116</v>
      </c>
      <c r="D19" s="87" t="s">
        <v>33</v>
      </c>
      <c r="E19" s="27" t="s">
        <v>34</v>
      </c>
      <c r="F19" s="11">
        <f>SUMIFS(KONSOLIDIRANA!$K$15:$K$491,KONSOLIDIRANA!$D$15:$D$491,"="&amp;HRT!$B19)</f>
        <v>147467.76</v>
      </c>
      <c r="G19" s="1" t="s">
        <v>607</v>
      </c>
    </row>
    <row r="20" spans="1:8" ht="15.95" customHeight="1">
      <c r="A20" s="23" t="s">
        <v>813</v>
      </c>
      <c r="B20" s="24">
        <v>121</v>
      </c>
      <c r="C20" s="25">
        <v>121</v>
      </c>
      <c r="D20" s="86" t="s">
        <v>297</v>
      </c>
      <c r="E20" s="26" t="s">
        <v>296</v>
      </c>
      <c r="F20" s="12">
        <f>SUMIFS(KONSOLIDIRANA!$K$15:$K$491,KONSOLIDIRANA!$D$15:$D$491,"="&amp;HRT!$B20)-SUMIFS(KONSOLIDIRANA!$K$15:$K$491,KONSOLIDIRANA!$C$15:$C$491,"="&amp;HRT!$B20)</f>
        <v>1306855009.2099998</v>
      </c>
    </row>
    <row r="21" spans="1:8" ht="15.95" customHeight="1">
      <c r="A21" s="23" t="s">
        <v>36</v>
      </c>
      <c r="B21" s="24">
        <v>13</v>
      </c>
      <c r="C21" s="25">
        <v>13</v>
      </c>
      <c r="D21" s="86" t="s">
        <v>299</v>
      </c>
      <c r="E21" s="26" t="s">
        <v>298</v>
      </c>
      <c r="F21" s="13">
        <f>SUM(F22,F29)</f>
        <v>67871974.599999994</v>
      </c>
    </row>
    <row r="22" spans="1:8" ht="15.95" customHeight="1">
      <c r="A22" s="23" t="s">
        <v>837</v>
      </c>
      <c r="B22" s="24" t="s">
        <v>300</v>
      </c>
      <c r="C22" s="25" t="s">
        <v>301</v>
      </c>
      <c r="D22" s="86" t="s">
        <v>303</v>
      </c>
      <c r="E22" s="32" t="s">
        <v>302</v>
      </c>
      <c r="F22" s="10">
        <f>SUM(F23:F24)</f>
        <v>6103257.2800000003</v>
      </c>
    </row>
    <row r="23" spans="1:8" ht="15.95" customHeight="1">
      <c r="A23" s="23" t="s">
        <v>36</v>
      </c>
      <c r="B23" s="24" t="s">
        <v>304</v>
      </c>
      <c r="C23" s="25"/>
      <c r="D23" s="90" t="s">
        <v>306</v>
      </c>
      <c r="E23" s="33" t="s">
        <v>305</v>
      </c>
      <c r="F23" s="11">
        <f>SUMIFS(KONSOLIDIRANA!$K$15:$K$491,KONSOLIDIRANA!$D$15:$D$491,"="&amp;HRT!$B23)</f>
        <v>6103257.2800000003</v>
      </c>
    </row>
    <row r="24" spans="1:8" ht="15.95" customHeight="1">
      <c r="A24" s="23" t="s">
        <v>36</v>
      </c>
      <c r="B24" s="24" t="s">
        <v>307</v>
      </c>
      <c r="C24" s="25"/>
      <c r="D24" s="90" t="s">
        <v>309</v>
      </c>
      <c r="E24" s="33" t="s">
        <v>308</v>
      </c>
      <c r="F24" s="10">
        <f>SUM(F25:F28)</f>
        <v>0</v>
      </c>
      <c r="H24" s="255"/>
    </row>
    <row r="25" spans="1:8" ht="15.95" customHeight="1">
      <c r="A25" s="23" t="s">
        <v>36</v>
      </c>
      <c r="B25" s="24" t="s">
        <v>310</v>
      </c>
      <c r="C25" s="25"/>
      <c r="D25" s="91" t="s">
        <v>312</v>
      </c>
      <c r="E25" s="34" t="s">
        <v>311</v>
      </c>
      <c r="F25" s="11">
        <f>SUMIFS(KONSOLIDIRANA!$K$15:$K$491,KONSOLIDIRANA!$D$15:$D$491,"="&amp;HRT!$B25)</f>
        <v>0</v>
      </c>
    </row>
    <row r="26" spans="1:8" ht="15.95" customHeight="1">
      <c r="A26" s="23" t="s">
        <v>36</v>
      </c>
      <c r="B26" s="24" t="s">
        <v>313</v>
      </c>
      <c r="C26" s="25"/>
      <c r="D26" s="91" t="s">
        <v>315</v>
      </c>
      <c r="E26" s="35" t="s">
        <v>314</v>
      </c>
      <c r="F26" s="11">
        <f>SUMIFS(KONSOLIDIRANA!$K$15:$K$491,KONSOLIDIRANA!$D$15:$D$491,"="&amp;HRT!$B26)</f>
        <v>0</v>
      </c>
    </row>
    <row r="27" spans="1:8" ht="15.95" customHeight="1">
      <c r="A27" s="23" t="s">
        <v>36</v>
      </c>
      <c r="B27" s="24" t="s">
        <v>316</v>
      </c>
      <c r="C27" s="25"/>
      <c r="D27" s="91" t="s">
        <v>318</v>
      </c>
      <c r="E27" s="34" t="s">
        <v>317</v>
      </c>
      <c r="F27" s="11">
        <f>SUMIFS(KONSOLIDIRANA!$K$15:$K$491,KONSOLIDIRANA!$D$15:$D$491,"="&amp;HRT!$B27)</f>
        <v>0</v>
      </c>
    </row>
    <row r="28" spans="1:8" ht="15.95" customHeight="1">
      <c r="A28" s="23" t="s">
        <v>36</v>
      </c>
      <c r="B28" s="24" t="s">
        <v>319</v>
      </c>
      <c r="C28" s="25"/>
      <c r="D28" s="91" t="s">
        <v>321</v>
      </c>
      <c r="E28" s="34" t="s">
        <v>320</v>
      </c>
      <c r="F28" s="11">
        <f>SUMIFS(KONSOLIDIRANA!$K$15:$K$491,KONSOLIDIRANA!$D$15:$D$491,"="&amp;HRT!$B28)</f>
        <v>0</v>
      </c>
    </row>
    <row r="29" spans="1:8" ht="15.95" customHeight="1">
      <c r="A29" s="23" t="s">
        <v>36</v>
      </c>
      <c r="B29" s="24">
        <v>133</v>
      </c>
      <c r="C29" s="25">
        <v>133</v>
      </c>
      <c r="D29" s="92" t="s">
        <v>323</v>
      </c>
      <c r="E29" s="36" t="s">
        <v>322</v>
      </c>
      <c r="F29" s="10">
        <f>SUM(F30:F35,F40:F41)</f>
        <v>61768717.32</v>
      </c>
    </row>
    <row r="30" spans="1:8" ht="15.95" customHeight="1">
      <c r="A30" s="23" t="s">
        <v>829</v>
      </c>
      <c r="B30" s="24" t="s">
        <v>324</v>
      </c>
      <c r="C30" s="25"/>
      <c r="D30" s="93" t="s">
        <v>326</v>
      </c>
      <c r="E30" s="37" t="s">
        <v>325</v>
      </c>
      <c r="F30" s="11">
        <f>SUMIFS(KONSOLIDIRANA!$K$15:$K$491,KONSOLIDIRANA!$D$15:$D$491,"="&amp;HRT!$B30)</f>
        <v>1673381.98</v>
      </c>
    </row>
    <row r="31" spans="1:8" ht="15.95" customHeight="1">
      <c r="A31" s="23" t="s">
        <v>830</v>
      </c>
      <c r="B31" s="24" t="s">
        <v>327</v>
      </c>
      <c r="C31" s="25"/>
      <c r="D31" s="93" t="s">
        <v>329</v>
      </c>
      <c r="E31" s="37" t="s">
        <v>328</v>
      </c>
      <c r="F31" s="11">
        <f>SUMIFS(KONSOLIDIRANA!$K$15:$K$491,KONSOLIDIRANA!$D$15:$D$491,"="&amp;HRT!$B31)</f>
        <v>0</v>
      </c>
    </row>
    <row r="32" spans="1:8" ht="15.95" customHeight="1">
      <c r="A32" s="23" t="s">
        <v>831</v>
      </c>
      <c r="B32" s="24" t="s">
        <v>333</v>
      </c>
      <c r="C32" s="25"/>
      <c r="D32" s="87" t="s">
        <v>331</v>
      </c>
      <c r="E32" s="27" t="s">
        <v>330</v>
      </c>
      <c r="F32" s="11">
        <f>SUMIFS(KONSOLIDIRANA!$K$15:$K$491,KONSOLIDIRANA!$D$15:$D$491,"="&amp;HRT!$B32)</f>
        <v>1794.22</v>
      </c>
    </row>
    <row r="33" spans="1:9" ht="15.95" customHeight="1">
      <c r="A33" s="23" t="s">
        <v>832</v>
      </c>
      <c r="B33" s="24" t="s">
        <v>336</v>
      </c>
      <c r="C33" s="25"/>
      <c r="D33" s="93" t="s">
        <v>254</v>
      </c>
      <c r="E33" s="37" t="s">
        <v>332</v>
      </c>
      <c r="F33" s="11">
        <f>SUMIFS(KONSOLIDIRANA!$K$15:$K$491,KONSOLIDIRANA!$D$15:$D$491,"="&amp;HRT!$B33)</f>
        <v>0</v>
      </c>
    </row>
    <row r="34" spans="1:9" ht="15.95" customHeight="1">
      <c r="A34" s="23" t="s">
        <v>833</v>
      </c>
      <c r="B34" s="24" t="s">
        <v>347</v>
      </c>
      <c r="C34" s="25"/>
      <c r="D34" s="93" t="s">
        <v>335</v>
      </c>
      <c r="E34" s="37" t="s">
        <v>334</v>
      </c>
      <c r="F34" s="11">
        <f>SUMIFS(KONSOLIDIRANA!$K$15:$K$491,KONSOLIDIRANA!$D$15:$D$491,"="&amp;HRT!$B34)</f>
        <v>0</v>
      </c>
    </row>
    <row r="35" spans="1:9" ht="15.95" customHeight="1">
      <c r="A35" s="23" t="s">
        <v>36</v>
      </c>
      <c r="B35" s="24" t="s">
        <v>350</v>
      </c>
      <c r="C35" s="25"/>
      <c r="D35" s="93" t="s">
        <v>338</v>
      </c>
      <c r="E35" s="37" t="s">
        <v>337</v>
      </c>
      <c r="F35" s="10">
        <f>SUM(F36:F39)</f>
        <v>0</v>
      </c>
    </row>
    <row r="36" spans="1:9" ht="15.95" customHeight="1">
      <c r="A36" s="23" t="s">
        <v>708</v>
      </c>
      <c r="B36" s="24" t="s">
        <v>616</v>
      </c>
      <c r="C36" s="25"/>
      <c r="D36" s="94" t="s">
        <v>340</v>
      </c>
      <c r="E36" s="38" t="s">
        <v>339</v>
      </c>
      <c r="F36" s="11">
        <f>SUMIFS(KONSOLIDIRANA!$K$15:$K$491,KONSOLIDIRANA!$D$15:$D$491,"="&amp;HRT!$B36)</f>
        <v>0</v>
      </c>
    </row>
    <row r="37" spans="1:9" ht="15.95" customHeight="1">
      <c r="A37" s="23" t="s">
        <v>834</v>
      </c>
      <c r="B37" s="24" t="s">
        <v>617</v>
      </c>
      <c r="C37" s="25"/>
      <c r="D37" s="94" t="s">
        <v>342</v>
      </c>
      <c r="E37" s="38" t="s">
        <v>341</v>
      </c>
      <c r="F37" s="11">
        <f>SUMIFS(KONSOLIDIRANA!$K$15:$K$491,KONSOLIDIRANA!$D$15:$D$491,"="&amp;HRT!$B37)</f>
        <v>0</v>
      </c>
    </row>
    <row r="38" spans="1:9" ht="15.95" customHeight="1">
      <c r="A38" s="23" t="s">
        <v>835</v>
      </c>
      <c r="B38" s="24" t="s">
        <v>618</v>
      </c>
      <c r="C38" s="25"/>
      <c r="D38" s="94" t="s">
        <v>344</v>
      </c>
      <c r="E38" s="38" t="s">
        <v>343</v>
      </c>
      <c r="F38" s="11">
        <f>SUMIFS(KONSOLIDIRANA!$K$15:$K$491,KONSOLIDIRANA!$D$15:$D$491,"="&amp;HRT!$B38)</f>
        <v>0</v>
      </c>
    </row>
    <row r="39" spans="1:9" ht="15.95" customHeight="1">
      <c r="A39" s="23" t="s">
        <v>36</v>
      </c>
      <c r="B39" s="24" t="s">
        <v>619</v>
      </c>
      <c r="C39" s="25"/>
      <c r="D39" s="94" t="s">
        <v>346</v>
      </c>
      <c r="E39" s="38" t="s">
        <v>345</v>
      </c>
      <c r="F39" s="11">
        <f>SUMIFS(KONSOLIDIRANA!$K$15:$K$491,KONSOLIDIRANA!$D$15:$D$491,"="&amp;HRT!$B39)</f>
        <v>0</v>
      </c>
    </row>
    <row r="40" spans="1:9" ht="15.95" customHeight="1">
      <c r="A40" s="23"/>
      <c r="B40" s="24" t="s">
        <v>614</v>
      </c>
      <c r="C40" s="25"/>
      <c r="D40" s="93" t="s">
        <v>349</v>
      </c>
      <c r="E40" s="37" t="s">
        <v>348</v>
      </c>
      <c r="F40" s="11">
        <f>SUMIFS(KONSOLIDIRANA!$K$15:$K$491,KONSOLIDIRANA!$D$15:$D$491,"="&amp;HRT!$B40)</f>
        <v>0</v>
      </c>
    </row>
    <row r="41" spans="1:9" ht="15.95" customHeight="1">
      <c r="A41" s="23" t="s">
        <v>836</v>
      </c>
      <c r="B41" s="24" t="s">
        <v>615</v>
      </c>
      <c r="C41" s="25"/>
      <c r="D41" s="93" t="s">
        <v>351</v>
      </c>
      <c r="E41" s="37" t="s">
        <v>41</v>
      </c>
      <c r="F41" s="12">
        <f>SUMIFS(KONSOLIDIRANA!$K$15:$K$491,KONSOLIDIRANA!$D$15:$D$491,"="&amp;HRT!$B41)-SUMIFS(KONSOLIDIRANA!$K$15:$K$491,KONSOLIDIRANA!$C$15:$C$491,"="&amp;HRT!$B41)</f>
        <v>60093541.119999997</v>
      </c>
      <c r="H41" s="5"/>
      <c r="I41" s="5"/>
    </row>
    <row r="42" spans="1:9" ht="15.95" customHeight="1">
      <c r="A42" s="23" t="s">
        <v>36</v>
      </c>
      <c r="B42" s="24">
        <v>14</v>
      </c>
      <c r="C42" s="25">
        <v>14</v>
      </c>
      <c r="D42" s="86" t="s">
        <v>353</v>
      </c>
      <c r="E42" s="26" t="s">
        <v>352</v>
      </c>
      <c r="F42" s="342">
        <f>SUM(F43+F46+F47+F48+F49+F50+F51)</f>
        <v>307917000.24000007</v>
      </c>
    </row>
    <row r="43" spans="1:9" ht="15.95" customHeight="1">
      <c r="A43" s="23" t="s">
        <v>814</v>
      </c>
      <c r="B43" s="24">
        <v>141</v>
      </c>
      <c r="C43" s="25">
        <v>141</v>
      </c>
      <c r="D43" s="87" t="s">
        <v>355</v>
      </c>
      <c r="E43" s="27" t="s">
        <v>354</v>
      </c>
      <c r="F43" s="11">
        <f>SUM(F44+F45)</f>
        <v>8402491.7099999934</v>
      </c>
    </row>
    <row r="44" spans="1:9" ht="15.95" customHeight="1">
      <c r="A44" s="23" t="s">
        <v>36</v>
      </c>
      <c r="B44" s="24" t="s">
        <v>356</v>
      </c>
      <c r="C44" s="25"/>
      <c r="D44" s="95" t="s">
        <v>358</v>
      </c>
      <c r="E44" s="39" t="s">
        <v>357</v>
      </c>
      <c r="F44" s="11">
        <f>SUMIFS(KONSOLIDIRANA!$K$15:$K$491,KONSOLIDIRANA!$D$15:$D$491,"="&amp;HRT!$B44)</f>
        <v>739930</v>
      </c>
    </row>
    <row r="45" spans="1:9" ht="15.95" customHeight="1">
      <c r="A45" s="23" t="s">
        <v>825</v>
      </c>
      <c r="B45" s="24">
        <v>1412</v>
      </c>
      <c r="C45" s="25">
        <v>1412</v>
      </c>
      <c r="D45" s="87" t="s">
        <v>360</v>
      </c>
      <c r="E45" s="27" t="s">
        <v>359</v>
      </c>
      <c r="F45" s="12">
        <f>SUMIFS(KONSOLIDIRANA!$K$15:$K$491,KONSOLIDIRANA!$D$15:$D$491,"="&amp;HRT!$B45)-SUMIFS(KONSOLIDIRANA!$K$15:$K$491,KONSOLIDIRANA!$C$15:$C$491,"="&amp;HRT!$B45)</f>
        <v>7662561.7099999934</v>
      </c>
    </row>
    <row r="46" spans="1:9" ht="15.95" customHeight="1">
      <c r="A46" s="23" t="s">
        <v>815</v>
      </c>
      <c r="B46" s="24">
        <v>142</v>
      </c>
      <c r="C46" s="25">
        <v>142</v>
      </c>
      <c r="D46" s="87" t="s">
        <v>362</v>
      </c>
      <c r="E46" s="27" t="s">
        <v>361</v>
      </c>
      <c r="F46" s="12">
        <f>SUMIFS(KONSOLIDIRANA!$K$15:$K$491,KONSOLIDIRANA!$D$15:$D$491,"="&amp;HRT!$B46)-SUMIFS(KONSOLIDIRANA!$K$15:$K$491,KONSOLIDIRANA!$C$15:$C$491,"="&amp;HRT!$B46)</f>
        <v>265477457.60000002</v>
      </c>
    </row>
    <row r="47" spans="1:9" ht="15.95" customHeight="1">
      <c r="A47" s="23" t="s">
        <v>249</v>
      </c>
      <c r="B47" s="24" t="s">
        <v>620</v>
      </c>
      <c r="C47" s="25">
        <v>142</v>
      </c>
      <c r="D47" s="217" t="s">
        <v>786</v>
      </c>
      <c r="E47" s="40" t="s">
        <v>656</v>
      </c>
      <c r="F47" s="11">
        <f>SUMIFS(KONSOLIDIRANA!$K$15:$K$491,KONSOLIDIRANA!$D$15:$D$491,"="&amp;HRT!$B47)</f>
        <v>875</v>
      </c>
    </row>
    <row r="48" spans="1:9" ht="15.95" customHeight="1">
      <c r="A48" s="23" t="s">
        <v>816</v>
      </c>
      <c r="B48" s="24" t="s">
        <v>621</v>
      </c>
      <c r="C48" s="25"/>
      <c r="D48" s="87" t="s">
        <v>364</v>
      </c>
      <c r="E48" s="27" t="s">
        <v>363</v>
      </c>
      <c r="F48" s="12">
        <f>SUMIFS(KONSOLIDIRANA!$K$15:$K$491,KONSOLIDIRANA!$D$15:$D$491,"="&amp;$B48)-SUMIFS(KONSOLIDIRANA!$K$15:$K$491,KONSOLIDIRANA!$C$15:$C$491,"="&amp;$B48)</f>
        <v>18865039.91</v>
      </c>
    </row>
    <row r="49" spans="1:8" ht="15.95" customHeight="1">
      <c r="A49" s="23" t="s">
        <v>713</v>
      </c>
      <c r="B49" s="24">
        <v>143</v>
      </c>
      <c r="C49" s="25">
        <v>143</v>
      </c>
      <c r="D49" s="87" t="s">
        <v>70</v>
      </c>
      <c r="E49" s="27" t="s">
        <v>365</v>
      </c>
      <c r="F49" s="11">
        <f>SUMIFS(KONSOLIDIRANA!$K$15:$K$491,KONSOLIDIRANA!$D$15:$D$491,"="&amp;HRT!$B49)</f>
        <v>15156788.42</v>
      </c>
    </row>
    <row r="50" spans="1:8" ht="15.95" customHeight="1">
      <c r="A50" s="23" t="s">
        <v>817</v>
      </c>
      <c r="B50" s="24">
        <v>145</v>
      </c>
      <c r="C50" s="25">
        <v>145</v>
      </c>
      <c r="D50" s="87" t="s">
        <v>367</v>
      </c>
      <c r="E50" s="27" t="s">
        <v>366</v>
      </c>
      <c r="F50" s="12">
        <f>SUMIFS(KONSOLIDIRANA!$K$15:$K$491,KONSOLIDIRANA!$D$15:$D$491,"="&amp;$B50)-SUMIFS(KONSOLIDIRANA!$K$15:$K$491,KONSOLIDIRANA!$C$15:$C$491,"="&amp;$B50)</f>
        <v>14347.6</v>
      </c>
    </row>
    <row r="51" spans="1:8" ht="15.95" customHeight="1">
      <c r="A51" s="23" t="s">
        <v>36</v>
      </c>
      <c r="B51" s="24" t="s">
        <v>649</v>
      </c>
      <c r="C51" s="25"/>
      <c r="D51" s="87" t="s">
        <v>369</v>
      </c>
      <c r="E51" s="27" t="s">
        <v>368</v>
      </c>
      <c r="F51" s="11">
        <f>SUMIFS(KONSOLIDIRANA!$K$15:$K$491,KONSOLIDIRANA!$D$15:$D$491,"="&amp;HRT!$B51)</f>
        <v>0</v>
      </c>
    </row>
    <row r="52" spans="1:8" ht="15.95" customHeight="1">
      <c r="A52" s="23" t="s">
        <v>36</v>
      </c>
      <c r="B52" s="24"/>
      <c r="C52" s="25"/>
      <c r="D52" s="96"/>
      <c r="E52" s="41"/>
      <c r="F52" s="11"/>
    </row>
    <row r="53" spans="1:8" ht="15.95" customHeight="1">
      <c r="A53" s="63" t="s">
        <v>36</v>
      </c>
      <c r="B53" s="64" t="s">
        <v>370</v>
      </c>
      <c r="C53" s="65" t="s">
        <v>370</v>
      </c>
      <c r="D53" s="97" t="s">
        <v>372</v>
      </c>
      <c r="E53" s="66" t="s">
        <v>371</v>
      </c>
      <c r="F53" s="67">
        <f>SUM(F54,F107)</f>
        <v>2788994546.79</v>
      </c>
      <c r="H53" s="83">
        <f>F54-KONSOLIDIRANA!K109</f>
        <v>0</v>
      </c>
    </row>
    <row r="54" spans="1:8" ht="15.95" customHeight="1">
      <c r="A54" s="23" t="s">
        <v>36</v>
      </c>
      <c r="B54" s="24">
        <v>2</v>
      </c>
      <c r="C54" s="25">
        <v>2</v>
      </c>
      <c r="D54" s="98" t="s">
        <v>374</v>
      </c>
      <c r="E54" s="42" t="s">
        <v>373</v>
      </c>
      <c r="F54" s="14">
        <f>SUM(F55,F59,F62,F73,F77,F78,F96:F97)</f>
        <v>2739335029.5799999</v>
      </c>
    </row>
    <row r="55" spans="1:8" ht="15.95" customHeight="1">
      <c r="A55" s="23" t="s">
        <v>36</v>
      </c>
      <c r="B55" s="24">
        <v>21</v>
      </c>
      <c r="C55" s="25">
        <v>21</v>
      </c>
      <c r="D55" s="87" t="s">
        <v>376</v>
      </c>
      <c r="E55" s="27" t="s">
        <v>375</v>
      </c>
      <c r="F55" s="10">
        <f>SUM(F56:F58)</f>
        <v>722193579.52999997</v>
      </c>
    </row>
    <row r="56" spans="1:8" ht="15.95" customHeight="1">
      <c r="A56" s="23" t="s">
        <v>818</v>
      </c>
      <c r="B56" s="24">
        <v>211</v>
      </c>
      <c r="C56" s="25">
        <v>211</v>
      </c>
      <c r="D56" s="87" t="s">
        <v>378</v>
      </c>
      <c r="E56" s="28" t="s">
        <v>377</v>
      </c>
      <c r="F56" s="12">
        <f>SUMIFS(KONSOLIDIRANA!$K$15:$K$491,KONSOLIDIRANA!$D$15:$D$491,"="&amp;HRT!$B56)-SUMIFS(KONSOLIDIRANA!$K$15:$K$491,KONSOLIDIRANA!$C$15:$C$491,"="&amp;HRT!$B56)</f>
        <v>476701493.19999993</v>
      </c>
    </row>
    <row r="57" spans="1:8" ht="15.95" customHeight="1">
      <c r="A57" s="23" t="s">
        <v>36</v>
      </c>
      <c r="B57" s="43" t="s">
        <v>637</v>
      </c>
      <c r="C57" s="25"/>
      <c r="D57" s="88" t="s">
        <v>380</v>
      </c>
      <c r="E57" s="28" t="s">
        <v>379</v>
      </c>
      <c r="F57" s="11">
        <f>SUMIFS(KONSOLIDIRANA!$K$15:$K$491,KONSOLIDIRANA!$D$15:$D$491,"="&amp;HRT!$B57)</f>
        <v>0</v>
      </c>
    </row>
    <row r="58" spans="1:8" ht="15.95" customHeight="1">
      <c r="A58" s="23" t="s">
        <v>819</v>
      </c>
      <c r="B58" s="24">
        <v>212</v>
      </c>
      <c r="C58" s="25">
        <v>212</v>
      </c>
      <c r="D58" s="88" t="s">
        <v>382</v>
      </c>
      <c r="E58" s="28" t="s">
        <v>381</v>
      </c>
      <c r="F58" s="11">
        <f>SUMIFS(KONSOLIDIRANA!$K$15:$K$491,KONSOLIDIRANA!$D$15:$D$491,"="&amp;HRT!$B58)</f>
        <v>245492086.33000004</v>
      </c>
    </row>
    <row r="59" spans="1:8" ht="15.95" customHeight="1">
      <c r="A59" s="23" t="s">
        <v>36</v>
      </c>
      <c r="B59" s="24">
        <v>22</v>
      </c>
      <c r="C59" s="25">
        <v>22</v>
      </c>
      <c r="D59" s="87" t="s">
        <v>384</v>
      </c>
      <c r="E59" s="27" t="s">
        <v>383</v>
      </c>
      <c r="F59" s="13">
        <f>SUM(F60:F61)</f>
        <v>612285832.27999997</v>
      </c>
    </row>
    <row r="60" spans="1:8" ht="15.95" customHeight="1">
      <c r="A60" s="23" t="s">
        <v>36</v>
      </c>
      <c r="B60" s="24" t="s">
        <v>385</v>
      </c>
      <c r="C60" s="25"/>
      <c r="D60" s="99" t="s">
        <v>387</v>
      </c>
      <c r="E60" s="44" t="s">
        <v>386</v>
      </c>
      <c r="F60" s="11">
        <f>SUMIFS(KONSOLIDIRANA!$K$15:$K$491,KONSOLIDIRANA!$D$15:$D$491,"="&amp;HRT!$B60)</f>
        <v>0</v>
      </c>
    </row>
    <row r="61" spans="1:8" ht="15.95" customHeight="1">
      <c r="A61" s="23" t="s">
        <v>709</v>
      </c>
      <c r="B61" s="24" t="s">
        <v>388</v>
      </c>
      <c r="C61" s="25"/>
      <c r="D61" s="94" t="s">
        <v>390</v>
      </c>
      <c r="E61" s="38" t="s">
        <v>389</v>
      </c>
      <c r="F61" s="12">
        <f>SUMIFS(KONSOLIDIRANA!$K$15:$K$491,KONSOLIDIRANA!$D$15:$D$491,"="&amp;HRT!$B61)-SUMIFS(KONSOLIDIRANA!$K$15:$K$491,KONSOLIDIRANA!$C$15:$C$491,"="&amp;HRT!$B61)</f>
        <v>612285832.27999997</v>
      </c>
    </row>
    <row r="62" spans="1:8" ht="15.95" customHeight="1">
      <c r="A62" s="23" t="s">
        <v>36</v>
      </c>
      <c r="B62" s="24">
        <v>27</v>
      </c>
      <c r="C62" s="25">
        <v>27</v>
      </c>
      <c r="D62" s="87" t="s">
        <v>392</v>
      </c>
      <c r="E62" s="27" t="s">
        <v>391</v>
      </c>
      <c r="F62" s="10">
        <f>SUM(F63,F68,F72)</f>
        <v>1198287530.4700003</v>
      </c>
    </row>
    <row r="63" spans="1:8" ht="15.95" customHeight="1">
      <c r="A63" s="23" t="s">
        <v>36</v>
      </c>
      <c r="B63" s="24">
        <v>271</v>
      </c>
      <c r="C63" s="25">
        <v>271</v>
      </c>
      <c r="D63" s="91" t="s">
        <v>394</v>
      </c>
      <c r="E63" s="35" t="s">
        <v>393</v>
      </c>
      <c r="F63" s="10">
        <f>SUM(F64:F67)</f>
        <v>875100444.74000001</v>
      </c>
    </row>
    <row r="64" spans="1:8" ht="15.95" customHeight="1">
      <c r="A64" s="23" t="s">
        <v>36</v>
      </c>
      <c r="B64" s="24" t="s">
        <v>395</v>
      </c>
      <c r="C64" s="25"/>
      <c r="D64" s="89" t="s">
        <v>397</v>
      </c>
      <c r="E64" s="31" t="s">
        <v>396</v>
      </c>
      <c r="F64" s="11">
        <f>SUMIFS(KONSOLIDIRANA!$K$15:$K$491,KONSOLIDIRANA!$D$15:$D$491,"="&amp;HRT!$B64)</f>
        <v>0</v>
      </c>
    </row>
    <row r="65" spans="1:6" ht="15.95" customHeight="1">
      <c r="A65" s="23" t="s">
        <v>36</v>
      </c>
      <c r="B65" s="24" t="s">
        <v>398</v>
      </c>
      <c r="C65" s="25"/>
      <c r="D65" s="89" t="s">
        <v>400</v>
      </c>
      <c r="E65" s="31" t="s">
        <v>399</v>
      </c>
      <c r="F65" s="11">
        <f>SUMIFS(KONSOLIDIRANA!$K$15:$K$491,KONSOLIDIRANA!$D$15:$D$491,"="&amp;HRT!$B65)</f>
        <v>0</v>
      </c>
    </row>
    <row r="66" spans="1:6" ht="15.95" customHeight="1">
      <c r="A66" s="23" t="s">
        <v>36</v>
      </c>
      <c r="B66" s="24" t="s">
        <v>401</v>
      </c>
      <c r="C66" s="25"/>
      <c r="D66" s="100" t="s">
        <v>403</v>
      </c>
      <c r="E66" s="31" t="s">
        <v>402</v>
      </c>
      <c r="F66" s="11">
        <f>SUMIFS(KONSOLIDIRANA!$K$15:$K$491,KONSOLIDIRANA!$D$15:$D$491,"="&amp;HRT!$B66)</f>
        <v>858375993.38999999</v>
      </c>
    </row>
    <row r="67" spans="1:6" ht="15.95" customHeight="1">
      <c r="A67" s="23" t="s">
        <v>710</v>
      </c>
      <c r="B67" s="24" t="s">
        <v>404</v>
      </c>
      <c r="C67" s="25"/>
      <c r="D67" s="100" t="s">
        <v>406</v>
      </c>
      <c r="E67" s="31" t="s">
        <v>405</v>
      </c>
      <c r="F67" s="11">
        <f>SUMIFS(KONSOLIDIRANA!$K$15:$K$491,KONSOLIDIRANA!$D$15:$D$491,"="&amp;HRT!$B67)</f>
        <v>16724451.35</v>
      </c>
    </row>
    <row r="68" spans="1:6" ht="15.95" customHeight="1">
      <c r="A68" s="23" t="s">
        <v>36</v>
      </c>
      <c r="B68" s="24">
        <v>272</v>
      </c>
      <c r="C68" s="25">
        <v>272</v>
      </c>
      <c r="D68" s="88" t="s">
        <v>408</v>
      </c>
      <c r="E68" s="35" t="s">
        <v>407</v>
      </c>
      <c r="F68" s="10">
        <f>SUM(F69:F71)</f>
        <v>313176492.09000009</v>
      </c>
    </row>
    <row r="69" spans="1:6" ht="15.95" customHeight="1">
      <c r="A69" s="23" t="s">
        <v>251</v>
      </c>
      <c r="B69" s="24" t="s">
        <v>625</v>
      </c>
      <c r="C69" s="25"/>
      <c r="D69" s="100" t="s">
        <v>410</v>
      </c>
      <c r="E69" s="45" t="s">
        <v>409</v>
      </c>
      <c r="F69" s="11">
        <f>SUMIFS(KONSOLIDIRANA!$K$15:$K$491,KONSOLIDIRANA!$D$15:$D$491,"="&amp;HRT!$B69)</f>
        <v>64911520.480000004</v>
      </c>
    </row>
    <row r="70" spans="1:6" ht="15.95" customHeight="1">
      <c r="A70" s="23" t="s">
        <v>253</v>
      </c>
      <c r="B70" s="24" t="s">
        <v>626</v>
      </c>
      <c r="C70" s="25"/>
      <c r="D70" s="101" t="s">
        <v>412</v>
      </c>
      <c r="E70" s="45" t="s">
        <v>411</v>
      </c>
      <c r="F70" s="11">
        <f>SUMIFS(KONSOLIDIRANA!$K$15:$K$491,KONSOLIDIRANA!$D$15:$D$491,"="&amp;HRT!$B70)</f>
        <v>75591160.180000007</v>
      </c>
    </row>
    <row r="71" spans="1:6" ht="15.95" customHeight="1">
      <c r="A71" s="23" t="s">
        <v>849</v>
      </c>
      <c r="B71" s="24" t="s">
        <v>627</v>
      </c>
      <c r="C71" s="25"/>
      <c r="D71" s="102" t="s">
        <v>414</v>
      </c>
      <c r="E71" s="31" t="s">
        <v>413</v>
      </c>
      <c r="F71" s="12">
        <f>SUMIFS(KONSOLIDIRANA!$K$15:$K$491,KONSOLIDIRANA!$D$15:$D$491,"="&amp;HRT!$B71)-SUMIFS(KONSOLIDIRANA!$K$15:$K$491,KONSOLIDIRANA!$C$15:$C$491,"="&amp;HRT!$B71)</f>
        <v>172673811.43000007</v>
      </c>
    </row>
    <row r="72" spans="1:6" ht="15.95" customHeight="1">
      <c r="A72" s="23" t="s">
        <v>821</v>
      </c>
      <c r="B72" s="24" t="s">
        <v>624</v>
      </c>
      <c r="C72" s="25"/>
      <c r="D72" s="103" t="s">
        <v>416</v>
      </c>
      <c r="E72" s="28" t="s">
        <v>415</v>
      </c>
      <c r="F72" s="11">
        <f>SUMIFS(KONSOLIDIRANA!$K$15:$K$491,KONSOLIDIRANA!$D$15:$D$491,"="&amp;HRT!$B72)</f>
        <v>10010593.640000001</v>
      </c>
    </row>
    <row r="73" spans="1:6" ht="15.95" customHeight="1">
      <c r="A73" s="23" t="s">
        <v>36</v>
      </c>
      <c r="B73" s="24">
        <v>24</v>
      </c>
      <c r="C73" s="25">
        <v>24</v>
      </c>
      <c r="D73" s="87" t="s">
        <v>418</v>
      </c>
      <c r="E73" s="27" t="s">
        <v>417</v>
      </c>
      <c r="F73" s="10">
        <f>SUM(F74:F76)</f>
        <v>67885602.640000001</v>
      </c>
    </row>
    <row r="74" spans="1:6" ht="15.95" customHeight="1">
      <c r="A74" s="23" t="s">
        <v>820</v>
      </c>
      <c r="B74" s="24">
        <v>241</v>
      </c>
      <c r="C74" s="25">
        <v>241</v>
      </c>
      <c r="D74" s="88" t="s">
        <v>420</v>
      </c>
      <c r="E74" s="28" t="s">
        <v>419</v>
      </c>
      <c r="F74" s="11">
        <f>SUMIFS(KONSOLIDIRANA!$K$15:$K$491,KONSOLIDIRANA!$D$15:$D$491,"="&amp;HRT!$B74)</f>
        <v>63094665.489999995</v>
      </c>
    </row>
    <row r="75" spans="1:6" ht="15.95" customHeight="1">
      <c r="A75" s="23" t="s">
        <v>838</v>
      </c>
      <c r="B75" s="24" t="s">
        <v>421</v>
      </c>
      <c r="C75" s="25" t="s">
        <v>422</v>
      </c>
      <c r="D75" s="101" t="s">
        <v>608</v>
      </c>
      <c r="E75" s="28" t="s">
        <v>423</v>
      </c>
      <c r="F75" s="11">
        <f>SUMIFS(KONSOLIDIRANA!$K$15:$K$491,KONSOLIDIRANA!$D$15:$D$491,"="&amp;HRT!$B75)</f>
        <v>4790937.1500000004</v>
      </c>
    </row>
    <row r="76" spans="1:6" ht="15.95" customHeight="1">
      <c r="A76" s="23" t="s">
        <v>36</v>
      </c>
      <c r="B76" s="24" t="s">
        <v>424</v>
      </c>
      <c r="C76" s="25"/>
      <c r="D76" s="104" t="s">
        <v>426</v>
      </c>
      <c r="E76" s="35" t="s">
        <v>425</v>
      </c>
      <c r="F76" s="11">
        <f>SUMIFS(KONSOLIDIRANA!$K$15:$K$491,KONSOLIDIRANA!$D$15:$D$491,"="&amp;HRT!$B76)</f>
        <v>0</v>
      </c>
    </row>
    <row r="77" spans="1:6" ht="15.95" customHeight="1">
      <c r="A77" s="23" t="s">
        <v>809</v>
      </c>
      <c r="B77" s="24">
        <v>25</v>
      </c>
      <c r="C77" s="25">
        <v>25</v>
      </c>
      <c r="D77" s="87" t="s">
        <v>428</v>
      </c>
      <c r="E77" s="27" t="s">
        <v>427</v>
      </c>
      <c r="F77" s="11">
        <f>SUMIFS(KONSOLIDIRANA!$K$15:$K$491,KONSOLIDIRANA!$D$15:$D$491,"="&amp;HRT!$B77)</f>
        <v>58209704.599999994</v>
      </c>
    </row>
    <row r="78" spans="1:6" ht="15.95" customHeight="1">
      <c r="A78" s="23" t="s">
        <v>36</v>
      </c>
      <c r="B78" s="24">
        <v>26</v>
      </c>
      <c r="C78" s="25">
        <v>26</v>
      </c>
      <c r="D78" s="87" t="s">
        <v>85</v>
      </c>
      <c r="E78" s="27" t="s">
        <v>298</v>
      </c>
      <c r="F78" s="10">
        <f>SUM(F79:F80)</f>
        <v>743077.35000000335</v>
      </c>
    </row>
    <row r="79" spans="1:6" ht="15.95" customHeight="1">
      <c r="A79" s="23" t="s">
        <v>848</v>
      </c>
      <c r="B79" s="24" t="s">
        <v>628</v>
      </c>
      <c r="C79" s="25" t="s">
        <v>429</v>
      </c>
      <c r="D79" s="105" t="s">
        <v>431</v>
      </c>
      <c r="E79" s="30" t="s">
        <v>430</v>
      </c>
      <c r="F79" s="11">
        <f>SUMIFS(KONSOLIDIRANA!$K$15:$K$491,KONSOLIDIRANA!$D$15:$D$491,"="&amp;HRT!$B79)</f>
        <v>100117</v>
      </c>
    </row>
    <row r="80" spans="1:6" ht="15.95" customHeight="1">
      <c r="A80" s="23" t="s">
        <v>36</v>
      </c>
      <c r="B80" s="24">
        <v>263</v>
      </c>
      <c r="C80" s="25">
        <v>263</v>
      </c>
      <c r="D80" s="106" t="s">
        <v>433</v>
      </c>
      <c r="E80" s="46" t="s">
        <v>432</v>
      </c>
      <c r="F80" s="10">
        <f>SUM(F81:F84,F88:F89,F94:F95)</f>
        <v>642960.35000000335</v>
      </c>
    </row>
    <row r="81" spans="1:6" ht="15.95" customHeight="1">
      <c r="A81" s="23" t="s">
        <v>839</v>
      </c>
      <c r="B81" s="24" t="s">
        <v>434</v>
      </c>
      <c r="C81" s="25"/>
      <c r="D81" s="94" t="s">
        <v>326</v>
      </c>
      <c r="E81" s="38" t="s">
        <v>325</v>
      </c>
      <c r="F81" s="11">
        <f>SUMIFS(KONSOLIDIRANA!$K$15:$K$491,KONSOLIDIRANA!$D$15:$D$491,"="&amp;HRT!$B81)</f>
        <v>506123.35</v>
      </c>
    </row>
    <row r="82" spans="1:6" ht="15.95" customHeight="1">
      <c r="A82" s="23" t="s">
        <v>840</v>
      </c>
      <c r="B82" s="24" t="s">
        <v>435</v>
      </c>
      <c r="C82" s="25"/>
      <c r="D82" s="94" t="s">
        <v>329</v>
      </c>
      <c r="E82" s="38" t="s">
        <v>328</v>
      </c>
      <c r="F82" s="11">
        <f>SUMIFS(KONSOLIDIRANA!$K$15:$K$491,KONSOLIDIRANA!$D$15:$D$491,"="&amp;HRT!$B82)</f>
        <v>0</v>
      </c>
    </row>
    <row r="83" spans="1:6" ht="15.95" customHeight="1">
      <c r="A83" s="23" t="s">
        <v>841</v>
      </c>
      <c r="B83" s="24" t="s">
        <v>436</v>
      </c>
      <c r="C83" s="25"/>
      <c r="D83" s="88" t="s">
        <v>437</v>
      </c>
      <c r="E83" s="28" t="s">
        <v>330</v>
      </c>
      <c r="F83" s="11">
        <f>SUMIFS(KONSOLIDIRANA!$K$15:$K$491,KONSOLIDIRANA!$D$15:$D$491,"="&amp;HRT!$B83)</f>
        <v>136837</v>
      </c>
    </row>
    <row r="84" spans="1:6" ht="15.95" customHeight="1">
      <c r="A84" s="23" t="s">
        <v>842</v>
      </c>
      <c r="B84" s="24" t="s">
        <v>438</v>
      </c>
      <c r="C84" s="25"/>
      <c r="D84" s="94" t="s">
        <v>254</v>
      </c>
      <c r="E84" s="38" t="s">
        <v>332</v>
      </c>
      <c r="F84" s="11">
        <f>SUMIFS(KONSOLIDIRANA!$K$15:$K$491,KONSOLIDIRANA!$D$15:$D$491,"="&amp;HRT!$B84)</f>
        <v>0</v>
      </c>
    </row>
    <row r="85" spans="1:6" ht="15.95" customHeight="1">
      <c r="A85" s="23" t="s">
        <v>36</v>
      </c>
      <c r="B85" s="24" t="s">
        <v>649</v>
      </c>
      <c r="C85" s="25"/>
      <c r="D85" s="102" t="s">
        <v>440</v>
      </c>
      <c r="E85" s="47" t="s">
        <v>439</v>
      </c>
      <c r="F85" s="11">
        <f>SUMIFS(KONSOLIDIRANA!$K$15:$K$491,KONSOLIDIRANA!$D$15:$D$491,"="&amp;HRT!$B85)</f>
        <v>0</v>
      </c>
    </row>
    <row r="86" spans="1:6" ht="15.95" customHeight="1">
      <c r="A86" s="23" t="s">
        <v>36</v>
      </c>
      <c r="B86" s="24" t="s">
        <v>649</v>
      </c>
      <c r="C86" s="25"/>
      <c r="D86" s="102" t="s">
        <v>442</v>
      </c>
      <c r="E86" s="47" t="s">
        <v>441</v>
      </c>
      <c r="F86" s="11">
        <f>SUMIFS(KONSOLIDIRANA!$K$15:$K$491,KONSOLIDIRANA!$D$15:$D$491,"="&amp;HRT!$B86)</f>
        <v>0</v>
      </c>
    </row>
    <row r="87" spans="1:6" ht="15.95" customHeight="1">
      <c r="A87" s="23" t="s">
        <v>36</v>
      </c>
      <c r="B87" s="24" t="s">
        <v>649</v>
      </c>
      <c r="C87" s="25"/>
      <c r="D87" s="102" t="s">
        <v>444</v>
      </c>
      <c r="E87" s="47" t="s">
        <v>443</v>
      </c>
      <c r="F87" s="11">
        <f>SUMIFS(KONSOLIDIRANA!$K$15:$K$491,KONSOLIDIRANA!$D$15:$D$491,"="&amp;HRT!$B87)</f>
        <v>0</v>
      </c>
    </row>
    <row r="88" spans="1:6" ht="15.95" customHeight="1">
      <c r="A88" s="23" t="s">
        <v>843</v>
      </c>
      <c r="B88" s="24" t="s">
        <v>445</v>
      </c>
      <c r="C88" s="25"/>
      <c r="D88" s="94" t="s">
        <v>335</v>
      </c>
      <c r="E88" s="38" t="s">
        <v>334</v>
      </c>
      <c r="F88" s="11">
        <f>SUMIFS(KONSOLIDIRANA!$K$15:$K$491,KONSOLIDIRANA!$D$15:$D$491,"="&amp;HRT!$B88)</f>
        <v>0</v>
      </c>
    </row>
    <row r="89" spans="1:6" ht="15.95" customHeight="1">
      <c r="A89" s="23" t="s">
        <v>36</v>
      </c>
      <c r="B89" s="24" t="s">
        <v>446</v>
      </c>
      <c r="C89" s="25"/>
      <c r="D89" s="94" t="s">
        <v>338</v>
      </c>
      <c r="E89" s="38" t="s">
        <v>337</v>
      </c>
      <c r="F89" s="10">
        <f>SUM(F90:F93)</f>
        <v>0</v>
      </c>
    </row>
    <row r="90" spans="1:6" ht="15.95" customHeight="1">
      <c r="A90" s="23" t="s">
        <v>653</v>
      </c>
      <c r="B90" s="24" t="s">
        <v>447</v>
      </c>
      <c r="C90" s="25"/>
      <c r="D90" s="102" t="s">
        <v>340</v>
      </c>
      <c r="E90" s="47" t="s">
        <v>339</v>
      </c>
      <c r="F90" s="11">
        <f>SUMIFS(KONSOLIDIRANA!$K$15:$K$491,KONSOLIDIRANA!$D$15:$D$491,"="&amp;HRT!$B90)</f>
        <v>0</v>
      </c>
    </row>
    <row r="91" spans="1:6" ht="15.95" customHeight="1">
      <c r="A91" s="23" t="s">
        <v>844</v>
      </c>
      <c r="B91" s="24" t="s">
        <v>448</v>
      </c>
      <c r="C91" s="25"/>
      <c r="D91" s="102" t="s">
        <v>342</v>
      </c>
      <c r="E91" s="47" t="s">
        <v>341</v>
      </c>
      <c r="F91" s="11">
        <f>SUMIFS(KONSOLIDIRANA!$K$15:$K$491,KONSOLIDIRANA!$D$15:$D$491,"="&amp;HRT!$B91)</f>
        <v>0</v>
      </c>
    </row>
    <row r="92" spans="1:6" ht="15.95" customHeight="1">
      <c r="A92" s="23" t="s">
        <v>845</v>
      </c>
      <c r="B92" s="24" t="s">
        <v>449</v>
      </c>
      <c r="C92" s="25"/>
      <c r="D92" s="102" t="s">
        <v>450</v>
      </c>
      <c r="E92" s="47" t="s">
        <v>343</v>
      </c>
      <c r="F92" s="11">
        <f>SUMIFS(KONSOLIDIRANA!$K$15:$K$491,KONSOLIDIRANA!$D$15:$D$491,"="&amp;HRT!$B92)</f>
        <v>0</v>
      </c>
    </row>
    <row r="93" spans="1:6" ht="15.95" customHeight="1">
      <c r="A93" s="23" t="s">
        <v>36</v>
      </c>
      <c r="B93" s="24" t="s">
        <v>451</v>
      </c>
      <c r="C93" s="25"/>
      <c r="D93" s="102" t="s">
        <v>452</v>
      </c>
      <c r="E93" s="47" t="s">
        <v>345</v>
      </c>
      <c r="F93" s="11">
        <f>SUMIFS(KONSOLIDIRANA!$K$15:$K$491,KONSOLIDIRANA!$D$15:$D$491,"="&amp;HRT!$B93)</f>
        <v>0</v>
      </c>
    </row>
    <row r="94" spans="1:6" ht="15.95" customHeight="1">
      <c r="A94" s="23" t="s">
        <v>846</v>
      </c>
      <c r="B94" s="24" t="s">
        <v>453</v>
      </c>
      <c r="C94" s="25"/>
      <c r="D94" s="94" t="s">
        <v>349</v>
      </c>
      <c r="E94" s="38" t="s">
        <v>348</v>
      </c>
      <c r="F94" s="11">
        <f>SUMIFS(KONSOLIDIRANA!$K$15:$K$491,KONSOLIDIRANA!$D$15:$D$491,"="&amp;HRT!$B94)</f>
        <v>0</v>
      </c>
    </row>
    <row r="95" spans="1:6" ht="15.95" customHeight="1">
      <c r="A95" s="23" t="s">
        <v>847</v>
      </c>
      <c r="B95" s="24" t="s">
        <v>454</v>
      </c>
      <c r="C95" s="25"/>
      <c r="D95" s="94" t="s">
        <v>351</v>
      </c>
      <c r="E95" s="38" t="s">
        <v>41</v>
      </c>
      <c r="F95" s="322">
        <f>SUMIFS(KONSOLIDIRANA!$K$15:$K$491,KONSOLIDIRANA!$D$15:$D$491,"="&amp;HRT!$B95)-SUMIFS(KONSOLIDIRANA!$K$15:$K$491,KONSOLIDIRANA!$C$15:$C$491,"="&amp;HRT!$B95)</f>
        <v>3.3760443329811096E-9</v>
      </c>
    </row>
    <row r="96" spans="1:6" ht="15.95" customHeight="1">
      <c r="A96" s="23" t="s">
        <v>36</v>
      </c>
      <c r="B96" s="24">
        <v>23</v>
      </c>
      <c r="C96" s="25">
        <v>23</v>
      </c>
      <c r="D96" s="87" t="s">
        <v>456</v>
      </c>
      <c r="E96" s="27" t="s">
        <v>455</v>
      </c>
      <c r="F96" s="11">
        <f>SUMIFS(KONSOLIDIRANA!$K$15:$K$491,KONSOLIDIRANA!$D$15:$D$491,"="&amp;HRT!$B96)</f>
        <v>0</v>
      </c>
    </row>
    <row r="97" spans="1:6" ht="15.95" customHeight="1">
      <c r="A97" s="23" t="s">
        <v>36</v>
      </c>
      <c r="B97" s="24">
        <v>282</v>
      </c>
      <c r="C97" s="25">
        <v>282</v>
      </c>
      <c r="D97" s="87" t="s">
        <v>458</v>
      </c>
      <c r="E97" s="27" t="s">
        <v>457</v>
      </c>
      <c r="F97" s="10">
        <f>SUM(F98,F102)</f>
        <v>79729702.709999993</v>
      </c>
    </row>
    <row r="98" spans="1:6" ht="15.95" customHeight="1">
      <c r="A98" s="23" t="s">
        <v>826</v>
      </c>
      <c r="B98" s="24">
        <v>2821</v>
      </c>
      <c r="C98" s="25">
        <v>2821</v>
      </c>
      <c r="D98" s="88" t="s">
        <v>460</v>
      </c>
      <c r="E98" s="28" t="s">
        <v>459</v>
      </c>
      <c r="F98" s="344">
        <f>SUMIFS(KONSOLIDIRANA!$K$15:$K$491,KONSOLIDIRANA!$D$15:$D$491,"="&amp;HRT!$B98)</f>
        <v>67157288.439999998</v>
      </c>
    </row>
    <row r="99" spans="1:6" ht="15.95" customHeight="1">
      <c r="A99" s="23" t="s">
        <v>36</v>
      </c>
      <c r="B99" s="24" t="s">
        <v>649</v>
      </c>
      <c r="C99" s="25"/>
      <c r="D99" s="89" t="s">
        <v>159</v>
      </c>
      <c r="E99" s="48" t="s">
        <v>461</v>
      </c>
      <c r="F99" s="11">
        <f>SUMIFS(KONSOLIDIRANA!$K$15:$K$491,KONSOLIDIRANA!$D$15:$D$491,"="&amp;HRT!$B99)</f>
        <v>0</v>
      </c>
    </row>
    <row r="100" spans="1:6" ht="15.95" customHeight="1">
      <c r="A100" s="23" t="s">
        <v>36</v>
      </c>
      <c r="B100" s="24" t="s">
        <v>649</v>
      </c>
      <c r="C100" s="25"/>
      <c r="D100" s="100" t="s">
        <v>463</v>
      </c>
      <c r="E100" s="31" t="s">
        <v>462</v>
      </c>
      <c r="F100" s="11">
        <f>SUMIFS(KONSOLIDIRANA!$K$15:$K$491,KONSOLIDIRANA!$D$15:$D$491,"="&amp;HRT!$B100)</f>
        <v>0</v>
      </c>
    </row>
    <row r="101" spans="1:6" ht="15.95" customHeight="1">
      <c r="A101" s="23" t="s">
        <v>36</v>
      </c>
      <c r="B101" s="24" t="s">
        <v>649</v>
      </c>
      <c r="C101" s="25"/>
      <c r="D101" s="89" t="s">
        <v>250</v>
      </c>
      <c r="E101" s="31" t="s">
        <v>464</v>
      </c>
      <c r="F101" s="11">
        <f>SUMIFS(KONSOLIDIRANA!$K$15:$K$491,KONSOLIDIRANA!$D$15:$D$491,"="&amp;HRT!$B101)</f>
        <v>0</v>
      </c>
    </row>
    <row r="102" spans="1:6" ht="15.95" customHeight="1">
      <c r="A102" s="23" t="s">
        <v>36</v>
      </c>
      <c r="B102" s="24">
        <v>2822</v>
      </c>
      <c r="C102" s="25">
        <v>2822</v>
      </c>
      <c r="D102" s="88" t="s">
        <v>248</v>
      </c>
      <c r="E102" s="28" t="s">
        <v>465</v>
      </c>
      <c r="F102" s="13">
        <f>SUM(F103:F105)</f>
        <v>12572414.27</v>
      </c>
    </row>
    <row r="103" spans="1:6" ht="15.95" customHeight="1">
      <c r="A103" s="23" t="s">
        <v>850</v>
      </c>
      <c r="B103" s="24" t="s">
        <v>466</v>
      </c>
      <c r="C103" s="25"/>
      <c r="D103" s="100" t="s">
        <v>468</v>
      </c>
      <c r="E103" s="31" t="s">
        <v>467</v>
      </c>
      <c r="F103" s="11">
        <f>SUMIFS(KONSOLIDIRANA!$K$15:$K$491,KONSOLIDIRANA!$D$15:$D$491,"="&amp;HRT!$B103)</f>
        <v>12148207.74</v>
      </c>
    </row>
    <row r="104" spans="1:6" ht="15.95" customHeight="1">
      <c r="A104" s="23" t="s">
        <v>36</v>
      </c>
      <c r="B104" s="24" t="s">
        <v>469</v>
      </c>
      <c r="C104" s="25"/>
      <c r="D104" s="100" t="s">
        <v>471</v>
      </c>
      <c r="E104" s="31" t="s">
        <v>470</v>
      </c>
      <c r="F104" s="11">
        <f>SUMIFS(KONSOLIDIRANA!$K$15:$K$491,KONSOLIDIRANA!$D$15:$D$491,"="&amp;HRT!$B104)</f>
        <v>0</v>
      </c>
    </row>
    <row r="105" spans="1:6" ht="15.95" customHeight="1">
      <c r="A105" s="23" t="s">
        <v>252</v>
      </c>
      <c r="B105" s="24" t="s">
        <v>472</v>
      </c>
      <c r="C105" s="25"/>
      <c r="D105" s="100" t="s">
        <v>474</v>
      </c>
      <c r="E105" s="31" t="s">
        <v>473</v>
      </c>
      <c r="F105" s="11">
        <f>SUMIFS(KONSOLIDIRANA!$K$15:$K$491,KONSOLIDIRANA!$D$15:$D$491,"="&amp;HRT!$B105)</f>
        <v>424206.53</v>
      </c>
    </row>
    <row r="106" spans="1:6" ht="15.95" customHeight="1">
      <c r="A106" s="23" t="s">
        <v>36</v>
      </c>
      <c r="B106" s="24"/>
      <c r="C106" s="25"/>
      <c r="D106" s="100"/>
      <c r="E106" s="31"/>
      <c r="F106" s="11"/>
    </row>
    <row r="107" spans="1:6" ht="15.95" customHeight="1">
      <c r="A107" s="63" t="s">
        <v>36</v>
      </c>
      <c r="B107" s="64">
        <v>31</v>
      </c>
      <c r="C107" s="65">
        <v>31</v>
      </c>
      <c r="D107" s="107" t="s">
        <v>476</v>
      </c>
      <c r="E107" s="68" t="s">
        <v>475</v>
      </c>
      <c r="F107" s="69">
        <f>SUM(F108)-SUM(F113)</f>
        <v>49659517.209999993</v>
      </c>
    </row>
    <row r="108" spans="1:6" ht="15.95" customHeight="1">
      <c r="A108" s="23" t="s">
        <v>810</v>
      </c>
      <c r="B108" s="24" t="s">
        <v>477</v>
      </c>
      <c r="C108" s="25">
        <v>31.2</v>
      </c>
      <c r="D108" s="87" t="s">
        <v>479</v>
      </c>
      <c r="E108" s="27" t="s">
        <v>478</v>
      </c>
      <c r="F108" s="11">
        <f>SUMIFS(KONSOLIDIRANA!$K$15:$K$491,KONSOLIDIRANA!$D$15:$D$491,"="&amp;HRT!$B108)</f>
        <v>53916430.069999993</v>
      </c>
    </row>
    <row r="109" spans="1:6" ht="15.95" customHeight="1">
      <c r="A109" s="23" t="s">
        <v>36</v>
      </c>
      <c r="B109" s="24" t="s">
        <v>480</v>
      </c>
      <c r="C109" s="25"/>
      <c r="D109" s="108" t="s">
        <v>482</v>
      </c>
      <c r="E109" s="49" t="s">
        <v>481</v>
      </c>
      <c r="F109" s="11">
        <f>SUMIFS(KONSOLIDIRANA!$K$15:$K$491,KONSOLIDIRANA!$D$15:$D$491,"="&amp;HRT!$B109)</f>
        <v>0</v>
      </c>
    </row>
    <row r="110" spans="1:6" ht="15.95" customHeight="1">
      <c r="A110" s="23" t="s">
        <v>36</v>
      </c>
      <c r="B110" s="24" t="s">
        <v>483</v>
      </c>
      <c r="C110" s="25"/>
      <c r="D110" s="108" t="s">
        <v>485</v>
      </c>
      <c r="E110" s="49" t="s">
        <v>484</v>
      </c>
      <c r="F110" s="11">
        <f>SUMIFS(KONSOLIDIRANA!$K$15:$K$491,KONSOLIDIRANA!$D$15:$D$491,"="&amp;HRT!$B110)</f>
        <v>0</v>
      </c>
    </row>
    <row r="111" spans="1:6" ht="15.95" customHeight="1">
      <c r="A111" s="23" t="s">
        <v>36</v>
      </c>
      <c r="B111" s="24" t="s">
        <v>649</v>
      </c>
      <c r="C111" s="25"/>
      <c r="D111" s="109" t="s">
        <v>487</v>
      </c>
      <c r="E111" s="50" t="s">
        <v>486</v>
      </c>
      <c r="F111" s="11">
        <f>SUMIFS(KONSOLIDIRANA!$K$15:$K$491,KONSOLIDIRANA!$D$15:$D$491,"="&amp;HRT!$B111)</f>
        <v>0</v>
      </c>
    </row>
    <row r="112" spans="1:6" ht="15.95" customHeight="1">
      <c r="A112" s="23" t="s">
        <v>36</v>
      </c>
      <c r="B112" s="24" t="s">
        <v>649</v>
      </c>
      <c r="C112" s="25"/>
      <c r="D112" s="109" t="s">
        <v>489</v>
      </c>
      <c r="E112" s="50" t="s">
        <v>488</v>
      </c>
      <c r="F112" s="11">
        <f>SUMIFS(KONSOLIDIRANA!$K$15:$K$491,KONSOLIDIRANA!$D$15:$D$491,"="&amp;HRT!$B112)</f>
        <v>0</v>
      </c>
    </row>
    <row r="113" spans="1:9" ht="15.95" customHeight="1" thickBot="1">
      <c r="A113" s="23" t="s">
        <v>811</v>
      </c>
      <c r="B113" s="24" t="s">
        <v>490</v>
      </c>
      <c r="C113" s="25">
        <v>31.1</v>
      </c>
      <c r="D113" s="87" t="s">
        <v>492</v>
      </c>
      <c r="E113" s="27" t="s">
        <v>491</v>
      </c>
      <c r="F113" s="12">
        <f>SUMIFS(KONSOLIDIRANA!$K$15:$K$491,KONSOLIDIRANA!$D$15:$D$491,"="&amp;HRT!$B113)-SUMIFS(KONSOLIDIRANA!$K$15:$K$491,KONSOLIDIRANA!$C$15:$C$491,"="&amp;HRT!$B113)</f>
        <v>4256912.8600000013</v>
      </c>
      <c r="H113" s="5"/>
      <c r="I113" s="5"/>
    </row>
    <row r="114" spans="1:9" ht="15.95" customHeight="1">
      <c r="A114" s="80" t="s">
        <v>36</v>
      </c>
      <c r="B114" s="70"/>
      <c r="C114" s="71"/>
      <c r="D114" s="110"/>
      <c r="E114" s="72"/>
      <c r="F114" s="73"/>
    </row>
    <row r="115" spans="1:9" ht="15.95" customHeight="1">
      <c r="A115" s="81" t="s">
        <v>36</v>
      </c>
      <c r="B115" s="24" t="s">
        <v>493</v>
      </c>
      <c r="C115" s="25" t="s">
        <v>493</v>
      </c>
      <c r="D115" s="111" t="s">
        <v>495</v>
      </c>
      <c r="E115" s="51" t="s">
        <v>494</v>
      </c>
      <c r="F115" s="79">
        <f>F4-F54</f>
        <v>413156188.18000031</v>
      </c>
    </row>
    <row r="116" spans="1:9" ht="15.95" customHeight="1">
      <c r="A116" s="81" t="s">
        <v>36</v>
      </c>
      <c r="B116" s="24"/>
      <c r="C116" s="25"/>
      <c r="D116" s="112"/>
      <c r="E116" s="52"/>
      <c r="F116" s="79"/>
    </row>
    <row r="117" spans="1:9" ht="15.95" customHeight="1">
      <c r="A117" s="81" t="s">
        <v>36</v>
      </c>
      <c r="B117" s="24" t="s">
        <v>496</v>
      </c>
      <c r="C117" s="25" t="s">
        <v>496</v>
      </c>
      <c r="D117" s="111" t="s">
        <v>498</v>
      </c>
      <c r="E117" s="51" t="s">
        <v>497</v>
      </c>
      <c r="F117" s="79">
        <f>F4-F53</f>
        <v>363496670.97000027</v>
      </c>
    </row>
    <row r="118" spans="1:9" ht="15.95" customHeight="1">
      <c r="A118" s="81" t="s">
        <v>36</v>
      </c>
      <c r="B118" s="24"/>
      <c r="C118" s="25"/>
      <c r="D118" s="112"/>
      <c r="E118" s="52"/>
      <c r="F118" s="79"/>
    </row>
    <row r="119" spans="1:9" ht="15.95" customHeight="1">
      <c r="A119" s="81" t="s">
        <v>36</v>
      </c>
      <c r="B119" s="24" t="s">
        <v>499</v>
      </c>
      <c r="C119" s="25" t="s">
        <v>499</v>
      </c>
      <c r="D119" s="111" t="s">
        <v>501</v>
      </c>
      <c r="E119" s="51" t="s">
        <v>500</v>
      </c>
      <c r="F119" s="79">
        <f>F121-F157</f>
        <v>327249047.02000105</v>
      </c>
    </row>
    <row r="120" spans="1:9" ht="15.95" customHeight="1" thickBot="1">
      <c r="A120" s="82" t="s">
        <v>36</v>
      </c>
      <c r="B120" s="74"/>
      <c r="C120" s="75"/>
      <c r="D120" s="113"/>
      <c r="E120" s="76"/>
      <c r="F120" s="77"/>
    </row>
    <row r="121" spans="1:9" ht="15.95" customHeight="1">
      <c r="A121" s="23"/>
      <c r="B121" s="24">
        <v>32</v>
      </c>
      <c r="C121" s="25">
        <v>32</v>
      </c>
      <c r="D121" s="114" t="s">
        <v>503</v>
      </c>
      <c r="E121" s="53" t="s">
        <v>502</v>
      </c>
      <c r="F121" s="15">
        <f>SUM(F122,F148)</f>
        <v>-280703602.83999896</v>
      </c>
    </row>
    <row r="122" spans="1:9" ht="15.95" customHeight="1">
      <c r="A122" s="23" t="s">
        <v>36</v>
      </c>
      <c r="B122" s="24">
        <v>321</v>
      </c>
      <c r="C122" s="25"/>
      <c r="D122" s="86" t="s">
        <v>505</v>
      </c>
      <c r="E122" s="54" t="s">
        <v>504</v>
      </c>
      <c r="F122" s="13">
        <f>SUM(F123:F125,F142,F145:F147)</f>
        <v>-280703602.83999896</v>
      </c>
    </row>
    <row r="123" spans="1:9" ht="15.95" customHeight="1">
      <c r="A123" s="23" t="s">
        <v>36</v>
      </c>
      <c r="B123" s="24">
        <v>3212</v>
      </c>
      <c r="C123" s="25"/>
      <c r="D123" s="87" t="s">
        <v>507</v>
      </c>
      <c r="E123" s="27" t="s">
        <v>506</v>
      </c>
      <c r="F123" s="344">
        <f>KONSOLIDIRANA!K281-KONSOLIDIRANA!J281</f>
        <v>-51670317.809998989</v>
      </c>
    </row>
    <row r="124" spans="1:9" ht="15.95" customHeight="1">
      <c r="A124" s="23" t="s">
        <v>36</v>
      </c>
      <c r="B124" s="24">
        <v>3213</v>
      </c>
      <c r="C124" s="25"/>
      <c r="D124" s="87" t="s">
        <v>509</v>
      </c>
      <c r="E124" s="27" t="s">
        <v>508</v>
      </c>
      <c r="F124" s="344">
        <f>KONSOLIDIRANA!K279+KONSOLIDIRANA!K282-KONSOLIDIRANA!J279-KONSOLIDIRANA!J282</f>
        <v>-164959829.03999999</v>
      </c>
    </row>
    <row r="125" spans="1:9" ht="15.95" customHeight="1">
      <c r="A125" s="23" t="s">
        <v>36</v>
      </c>
      <c r="B125" s="24">
        <v>3214</v>
      </c>
      <c r="C125" s="25"/>
      <c r="D125" s="90" t="s">
        <v>259</v>
      </c>
      <c r="E125" s="27" t="s">
        <v>510</v>
      </c>
      <c r="F125" s="13">
        <f>SUM(F126:F129,F136,F141)</f>
        <v>-59623317.729999997</v>
      </c>
    </row>
    <row r="126" spans="1:9" ht="15.95" customHeight="1">
      <c r="A126" s="23" t="s">
        <v>36</v>
      </c>
      <c r="B126" s="24" t="s">
        <v>511</v>
      </c>
      <c r="C126" s="25"/>
      <c r="D126" s="88" t="s">
        <v>512</v>
      </c>
      <c r="E126" s="28" t="s">
        <v>512</v>
      </c>
      <c r="F126" s="11">
        <f>SUMIFS(KONSOLIDIRANA!$K$15:$K$491,KONSOLIDIRANA!$D$15:$D$491,"="&amp;HRT!$B126)</f>
        <v>0</v>
      </c>
    </row>
    <row r="127" spans="1:9" ht="15.95" customHeight="1">
      <c r="A127" s="23" t="s">
        <v>853</v>
      </c>
      <c r="B127" s="24" t="s">
        <v>513</v>
      </c>
      <c r="C127" s="25"/>
      <c r="D127" s="88" t="s">
        <v>515</v>
      </c>
      <c r="E127" s="28" t="s">
        <v>514</v>
      </c>
      <c r="F127" s="218">
        <f>(SUMIFS(KONSOLIDIRANA!$K$15:$K$490,KONSOLIDIRANA!$D$15:$D$490,"="&amp;HRT!$B127&amp;".1")-SUMIFS(KONSOLIDIRANA!$K$15:$K$490,KONSOLIDIRANA!$D$15:$D$490,"="&amp;HRT!$B127&amp;".2"))-(SUMIFS(KONSOLIDIRANA!$K$15:$K$490,KONSOLIDIRANA!$C$15:$C$490,"="&amp;HRT!$B127&amp;".1")-SUMIFS(KONSOLIDIRANA!$K$15:$K$490,KONSOLIDIRANA!$C$15:$C$490,"="&amp;HRT!$B127&amp;".2"))</f>
        <v>-1133812.5699999998</v>
      </c>
    </row>
    <row r="128" spans="1:9" ht="15.95" customHeight="1">
      <c r="A128" s="23" t="s">
        <v>36</v>
      </c>
      <c r="B128" s="24" t="s">
        <v>516</v>
      </c>
      <c r="C128" s="25"/>
      <c r="D128" s="88" t="s">
        <v>518</v>
      </c>
      <c r="E128" s="28" t="s">
        <v>517</v>
      </c>
      <c r="F128" s="11">
        <f>SUMIFS(KONSOLIDIRANA!$K$15:$K$491,KONSOLIDIRANA!$D$15:$D$491,"="&amp;HRT!$B128)</f>
        <v>0</v>
      </c>
    </row>
    <row r="129" spans="1:6" ht="15.95" customHeight="1">
      <c r="A129" s="23" t="s">
        <v>36</v>
      </c>
      <c r="B129" s="24" t="s">
        <v>519</v>
      </c>
      <c r="C129" s="25"/>
      <c r="D129" s="88" t="s">
        <v>521</v>
      </c>
      <c r="E129" s="28" t="s">
        <v>520</v>
      </c>
      <c r="F129" s="13">
        <f>SUM(F133)+SUM(F130)</f>
        <v>-58680129.25</v>
      </c>
    </row>
    <row r="130" spans="1:6" ht="15.95" customHeight="1">
      <c r="A130" s="23" t="s">
        <v>36</v>
      </c>
      <c r="B130" s="24" t="s">
        <v>522</v>
      </c>
      <c r="C130" s="25"/>
      <c r="D130" s="89" t="s">
        <v>524</v>
      </c>
      <c r="E130" s="31" t="s">
        <v>523</v>
      </c>
      <c r="F130" s="13">
        <f>SUM(F131:F132)</f>
        <v>-59140510.25</v>
      </c>
    </row>
    <row r="131" spans="1:6" ht="15.95" customHeight="1">
      <c r="A131" s="23" t="s">
        <v>851</v>
      </c>
      <c r="B131" s="24" t="s">
        <v>525</v>
      </c>
      <c r="C131" s="25"/>
      <c r="D131" s="115" t="s">
        <v>526</v>
      </c>
      <c r="E131" s="55" t="s">
        <v>609</v>
      </c>
      <c r="F131" s="12">
        <f>-SUMIFS(KONSOLIDIRANA!$K$15:$K$491,KONSOLIDIRANA!$D$15:$D$491,"="&amp;HRT!$B131)+SUMIFS(KONSOLIDIRANA!$K$15:$K$491,KONSOLIDIRANA!$C$15:$C$491,"="&amp;HRT!$B131)</f>
        <v>-57777983.329999998</v>
      </c>
    </row>
    <row r="132" spans="1:6" ht="15.95" customHeight="1">
      <c r="A132" s="23" t="s">
        <v>852</v>
      </c>
      <c r="B132" s="24" t="s">
        <v>527</v>
      </c>
      <c r="C132" s="25"/>
      <c r="D132" s="116" t="s">
        <v>263</v>
      </c>
      <c r="E132" s="56" t="s">
        <v>41</v>
      </c>
      <c r="F132" s="11">
        <f>-SUMIFS(KONSOLIDIRANA!$K$15:$K$491,KONSOLIDIRANA!$D$15:$D$491,"="&amp;HRT!$B132)</f>
        <v>-1362526.92</v>
      </c>
    </row>
    <row r="133" spans="1:6" ht="15.95" customHeight="1">
      <c r="A133" s="23" t="s">
        <v>36</v>
      </c>
      <c r="B133" s="24" t="s">
        <v>528</v>
      </c>
      <c r="C133" s="25"/>
      <c r="D133" s="89" t="s">
        <v>530</v>
      </c>
      <c r="E133" s="31" t="s">
        <v>529</v>
      </c>
      <c r="F133" s="13">
        <f>SUM(F134:F135)</f>
        <v>460381</v>
      </c>
    </row>
    <row r="134" spans="1:6" ht="15.95" customHeight="1">
      <c r="A134" s="23" t="s">
        <v>711</v>
      </c>
      <c r="B134" s="24" t="s">
        <v>531</v>
      </c>
      <c r="C134" s="25"/>
      <c r="D134" s="117" t="s">
        <v>533</v>
      </c>
      <c r="E134" s="55" t="s">
        <v>532</v>
      </c>
      <c r="F134" s="11">
        <f>SUMIFS(KONSOLIDIRANA!$K$15:$K$491,KONSOLIDIRANA!$D$15:$D$491,"="&amp;HRT!$B134)</f>
        <v>0</v>
      </c>
    </row>
    <row r="135" spans="1:6" ht="15.95" customHeight="1">
      <c r="A135" s="23" t="s">
        <v>714</v>
      </c>
      <c r="B135" s="24" t="s">
        <v>534</v>
      </c>
      <c r="C135" s="25"/>
      <c r="D135" s="116" t="s">
        <v>263</v>
      </c>
      <c r="E135" s="56" t="s">
        <v>41</v>
      </c>
      <c r="F135" s="11">
        <f>SUMIFS(KONSOLIDIRANA!$K$15:$K$491,KONSOLIDIRANA!$D$15:$D$491,"="&amp;HRT!$B135)</f>
        <v>460381</v>
      </c>
    </row>
    <row r="136" spans="1:6" ht="15.95" customHeight="1">
      <c r="A136" s="23" t="s">
        <v>36</v>
      </c>
      <c r="B136" s="24" t="s">
        <v>535</v>
      </c>
      <c r="C136" s="25"/>
      <c r="D136" s="88" t="s">
        <v>537</v>
      </c>
      <c r="E136" s="28" t="s">
        <v>536</v>
      </c>
      <c r="F136" s="13">
        <f>SUM(F137,F140)</f>
        <v>0</v>
      </c>
    </row>
    <row r="137" spans="1:6" ht="15.95" customHeight="1">
      <c r="A137" s="23" t="s">
        <v>36</v>
      </c>
      <c r="B137" s="24" t="s">
        <v>638</v>
      </c>
      <c r="C137" s="25"/>
      <c r="D137" s="89" t="s">
        <v>539</v>
      </c>
      <c r="E137" s="31" t="s">
        <v>538</v>
      </c>
      <c r="F137" s="13">
        <f>SUM(F138:F139)</f>
        <v>0</v>
      </c>
    </row>
    <row r="138" spans="1:6" ht="15.95" customHeight="1">
      <c r="A138" s="23" t="s">
        <v>36</v>
      </c>
      <c r="B138" s="24" t="s">
        <v>639</v>
      </c>
      <c r="C138" s="25"/>
      <c r="D138" s="117" t="s">
        <v>540</v>
      </c>
      <c r="E138" s="55" t="s">
        <v>610</v>
      </c>
      <c r="F138" s="16">
        <f>SUMIFS(KONSOLIDIRANA!$K$15:$K$490,KONSOLIDIRANA!$D$15:$D$490,"="&amp;$B138&amp;".1")-SUMIFS(KONSOLIDIRANA!$K$15:$K$490,KONSOLIDIRANA!$D$15:$D$490,"="&amp;$B138&amp;".2")</f>
        <v>0</v>
      </c>
    </row>
    <row r="139" spans="1:6" ht="15.95" customHeight="1">
      <c r="A139" s="23" t="s">
        <v>36</v>
      </c>
      <c r="B139" s="24" t="s">
        <v>640</v>
      </c>
      <c r="C139" s="25"/>
      <c r="D139" s="117" t="s">
        <v>542</v>
      </c>
      <c r="E139" s="55" t="s">
        <v>541</v>
      </c>
      <c r="F139" s="16">
        <f>SUMIFS(KONSOLIDIRANA!$K$15:$K$490,KONSOLIDIRANA!$D$15:$D$490,"="&amp;$B139&amp;".1")-SUMIFS(KONSOLIDIRANA!$K$15:$K$490,KONSOLIDIRANA!$D$15:$D$490,"="&amp;$B139&amp;".2")</f>
        <v>0</v>
      </c>
    </row>
    <row r="140" spans="1:6" ht="15.95" customHeight="1">
      <c r="A140" s="23" t="s">
        <v>36</v>
      </c>
      <c r="B140" s="24" t="s">
        <v>650</v>
      </c>
      <c r="C140" s="25"/>
      <c r="D140" s="89" t="s">
        <v>263</v>
      </c>
      <c r="E140" s="31" t="s">
        <v>41</v>
      </c>
      <c r="F140" s="16">
        <f>SUMIFS(KONSOLIDIRANA!$K$15:$K$490,KONSOLIDIRANA!$D$15:$D$490,"="&amp;$B140&amp;".1")-SUMIFS(KONSOLIDIRANA!$K$15:$K$490,KONSOLIDIRANA!$D$15:$D$490,"="&amp;$B140&amp;".2")</f>
        <v>0</v>
      </c>
    </row>
    <row r="141" spans="1:6" ht="15.95" customHeight="1">
      <c r="A141" s="23" t="s">
        <v>854</v>
      </c>
      <c r="B141" s="24" t="s">
        <v>543</v>
      </c>
      <c r="C141" s="25"/>
      <c r="D141" s="89" t="s">
        <v>258</v>
      </c>
      <c r="E141" s="28" t="s">
        <v>544</v>
      </c>
      <c r="F141" s="16">
        <f>SUMIFS(KONSOLIDIRANA!$K$15:$K$490,KONSOLIDIRANA!$D$15:$D$490,"="&amp;$B141&amp;".1")-SUMIFS(KONSOLIDIRANA!$K$15:$K$490,KONSOLIDIRANA!$D$15:$D$490,"="&amp;$B141&amp;".2")</f>
        <v>190624.09</v>
      </c>
    </row>
    <row r="142" spans="1:6" ht="15.95" customHeight="1">
      <c r="A142" s="23" t="s">
        <v>36</v>
      </c>
      <c r="B142" s="24">
        <v>3215</v>
      </c>
      <c r="C142" s="25"/>
      <c r="D142" s="90" t="s">
        <v>546</v>
      </c>
      <c r="E142" s="27" t="s">
        <v>545</v>
      </c>
      <c r="F142" s="13">
        <f>SUM(F143:F144)</f>
        <v>-4450138.26</v>
      </c>
    </row>
    <row r="143" spans="1:6" ht="15.95" customHeight="1">
      <c r="A143" s="23" t="s">
        <v>855</v>
      </c>
      <c r="B143" s="24" t="s">
        <v>547</v>
      </c>
      <c r="C143" s="25"/>
      <c r="D143" s="88" t="s">
        <v>549</v>
      </c>
      <c r="E143" s="28" t="s">
        <v>548</v>
      </c>
      <c r="F143" s="16">
        <f>SUMIFS(KONSOLIDIRANA!$K$15:$K$490,KONSOLIDIRANA!$D$15:$D$490,"="&amp;$B143&amp;".1")-SUMIFS(KONSOLIDIRANA!$K$15:$K$490,KONSOLIDIRANA!$D$15:$D$490,"="&amp;$B143&amp;".2")</f>
        <v>-4471853.26</v>
      </c>
    </row>
    <row r="144" spans="1:6" ht="15.95" customHeight="1">
      <c r="A144" s="23" t="s">
        <v>856</v>
      </c>
      <c r="B144" s="24" t="s">
        <v>550</v>
      </c>
      <c r="C144" s="25"/>
      <c r="D144" s="88" t="s">
        <v>263</v>
      </c>
      <c r="E144" s="28" t="s">
        <v>41</v>
      </c>
      <c r="F144" s="16">
        <f>SUMIFS(KONSOLIDIRANA!$K$15:$K$490,KONSOLIDIRANA!$D$15:$D$490,"="&amp;$B144&amp;".1")-SUMIFS(KONSOLIDIRANA!$K$15:$K$490,KONSOLIDIRANA!$D$15:$D$490,"="&amp;$B144&amp;".2")</f>
        <v>21715</v>
      </c>
    </row>
    <row r="145" spans="1:6" ht="15.95" customHeight="1">
      <c r="A145" s="23" t="s">
        <v>36</v>
      </c>
      <c r="B145" s="24">
        <v>3216</v>
      </c>
      <c r="C145" s="25"/>
      <c r="D145" s="87" t="s">
        <v>552</v>
      </c>
      <c r="E145" s="27" t="s">
        <v>551</v>
      </c>
      <c r="F145" s="11">
        <f>SUMIFS(KONSOLIDIRANA!$K$15:$K$491,KONSOLIDIRANA!$D$15:$D$491,"="&amp;HRT!$B145)</f>
        <v>0</v>
      </c>
    </row>
    <row r="146" spans="1:6" ht="15.95" customHeight="1">
      <c r="A146" s="23" t="s">
        <v>36</v>
      </c>
      <c r="B146" s="24">
        <v>3217</v>
      </c>
      <c r="C146" s="25"/>
      <c r="D146" s="87" t="s">
        <v>554</v>
      </c>
      <c r="E146" s="27" t="s">
        <v>553</v>
      </c>
      <c r="F146" s="11">
        <f>SUMIFS(KONSOLIDIRANA!$K$15:$K$491,KONSOLIDIRANA!$D$15:$D$491,"="&amp;HRT!$B146)</f>
        <v>0</v>
      </c>
    </row>
    <row r="147" spans="1:6" ht="15.95" customHeight="1">
      <c r="A147" s="23" t="s">
        <v>36</v>
      </c>
      <c r="B147" s="24">
        <v>3218</v>
      </c>
      <c r="C147" s="25"/>
      <c r="D147" s="87" t="s">
        <v>556</v>
      </c>
      <c r="E147" s="27" t="s">
        <v>555</v>
      </c>
      <c r="F147" s="11">
        <f>SUMIFS(KONSOLIDIRANA!$K$15:$K$491,KONSOLIDIRANA!$D$15:$D$491,"="&amp;HRT!$B147)</f>
        <v>0</v>
      </c>
    </row>
    <row r="148" spans="1:6" ht="15.95" customHeight="1">
      <c r="A148" s="23" t="s">
        <v>36</v>
      </c>
      <c r="B148" s="24">
        <v>322</v>
      </c>
      <c r="C148" s="25"/>
      <c r="D148" s="86" t="s">
        <v>558</v>
      </c>
      <c r="E148" s="54" t="s">
        <v>557</v>
      </c>
      <c r="F148" s="13">
        <f>SUM(F149:F155)</f>
        <v>0</v>
      </c>
    </row>
    <row r="149" spans="1:6" ht="15.95" customHeight="1">
      <c r="A149" s="23" t="s">
        <v>36</v>
      </c>
      <c r="B149" s="24">
        <v>3222</v>
      </c>
      <c r="C149" s="25"/>
      <c r="D149" s="87" t="s">
        <v>560</v>
      </c>
      <c r="E149" s="27" t="s">
        <v>559</v>
      </c>
      <c r="F149" s="16">
        <f>SUMIFS(KONSOLIDIRANA!$K$15:$K$490,KONSOLIDIRANA!$D$15:$D$490,"="&amp;$B149&amp;".1")-SUMIFS(KONSOLIDIRANA!$K$15:$K$490,KONSOLIDIRANA!$D$15:$D$490,"="&amp;$B149&amp;".2")</f>
        <v>0</v>
      </c>
    </row>
    <row r="150" spans="1:6" ht="15.95" customHeight="1">
      <c r="A150" s="23" t="s">
        <v>36</v>
      </c>
      <c r="B150" s="24">
        <v>3223</v>
      </c>
      <c r="C150" s="25"/>
      <c r="D150" s="87" t="s">
        <v>509</v>
      </c>
      <c r="E150" s="27" t="s">
        <v>508</v>
      </c>
      <c r="F150" s="16">
        <f>SUMIFS(KONSOLIDIRANA!$K$15:$K$490,KONSOLIDIRANA!$D$15:$D$490,"="&amp;$B150&amp;".1")-SUMIFS(KONSOLIDIRANA!$K$15:$K$490,KONSOLIDIRANA!$D$15:$D$490,"="&amp;$B150&amp;".2")</f>
        <v>0</v>
      </c>
    </row>
    <row r="151" spans="1:6" ht="15.95" customHeight="1">
      <c r="A151" s="23" t="s">
        <v>827</v>
      </c>
      <c r="B151" s="24">
        <v>3224</v>
      </c>
      <c r="C151" s="25"/>
      <c r="D151" s="87" t="s">
        <v>259</v>
      </c>
      <c r="E151" s="27" t="s">
        <v>510</v>
      </c>
      <c r="F151" s="16">
        <f>SUMIFS(KONSOLIDIRANA!$K$15:$K$490,KONSOLIDIRANA!$D$15:$D$490,"="&amp;$B151&amp;".1")-SUMIFS(KONSOLIDIRANA!$K$15:$K$490,KONSOLIDIRANA!$D$15:$D$490,"="&amp;$B151&amp;".2")</f>
        <v>0</v>
      </c>
    </row>
    <row r="152" spans="1:6" ht="15.95" customHeight="1">
      <c r="A152" s="23" t="s">
        <v>36</v>
      </c>
      <c r="B152" s="24">
        <v>3225</v>
      </c>
      <c r="C152" s="25"/>
      <c r="D152" s="87" t="s">
        <v>561</v>
      </c>
      <c r="E152" s="27" t="s">
        <v>545</v>
      </c>
      <c r="F152" s="16">
        <f>SUMIFS(KONSOLIDIRANA!$K$15:$K$490,KONSOLIDIRANA!$D$15:$D$490,"="&amp;$B152&amp;".1")-SUMIFS(KONSOLIDIRANA!$K$15:$K$490,KONSOLIDIRANA!$D$15:$D$490,"="&amp;$B152&amp;".2")</f>
        <v>0</v>
      </c>
    </row>
    <row r="153" spans="1:6" ht="15.95" customHeight="1">
      <c r="A153" s="23" t="s">
        <v>36</v>
      </c>
      <c r="B153" s="24" t="s">
        <v>641</v>
      </c>
      <c r="C153" s="25"/>
      <c r="D153" s="87" t="s">
        <v>552</v>
      </c>
      <c r="E153" s="27" t="s">
        <v>551</v>
      </c>
      <c r="F153" s="16">
        <f>SUMIFS(KONSOLIDIRANA!$K$15:$K$490,KONSOLIDIRANA!$D$15:$D$490,"="&amp;$B153&amp;".1")-SUMIFS(KONSOLIDIRANA!$K$15:$K$490,KONSOLIDIRANA!$D$15:$D$490,"="&amp;$B153&amp;".2")</f>
        <v>0</v>
      </c>
    </row>
    <row r="154" spans="1:6" ht="15.95" customHeight="1">
      <c r="A154" s="23" t="s">
        <v>36</v>
      </c>
      <c r="B154" s="24" t="s">
        <v>642</v>
      </c>
      <c r="C154" s="25"/>
      <c r="D154" s="87" t="s">
        <v>562</v>
      </c>
      <c r="E154" s="27" t="s">
        <v>553</v>
      </c>
      <c r="F154" s="16">
        <f>SUMIFS(KONSOLIDIRANA!$K$15:$K$490,KONSOLIDIRANA!$D$15:$D$490,"="&amp;$B154&amp;".1")-SUMIFS(KONSOLIDIRANA!$K$15:$K$490,KONSOLIDIRANA!$D$15:$D$490,"="&amp;$B154&amp;".2")</f>
        <v>0</v>
      </c>
    </row>
    <row r="155" spans="1:6" ht="15.95" customHeight="1">
      <c r="A155" s="23" t="s">
        <v>36</v>
      </c>
      <c r="B155" s="24" t="s">
        <v>643</v>
      </c>
      <c r="C155" s="25"/>
      <c r="D155" s="87" t="s">
        <v>563</v>
      </c>
      <c r="E155" s="27" t="s">
        <v>555</v>
      </c>
      <c r="F155" s="16">
        <f>SUMIFS(KONSOLIDIRANA!$K$15:$K$490,KONSOLIDIRANA!$D$15:$D$490,"="&amp;$B155&amp;".1")-SUMIFS(KONSOLIDIRANA!$K$15:$K$490,KONSOLIDIRANA!$D$15:$D$490,"="&amp;$B155&amp;".2")</f>
        <v>0</v>
      </c>
    </row>
    <row r="156" spans="1:6" ht="15.95" customHeight="1">
      <c r="A156" s="23" t="s">
        <v>36</v>
      </c>
      <c r="B156" s="24"/>
      <c r="C156" s="25"/>
      <c r="D156" s="118"/>
      <c r="E156" s="57"/>
      <c r="F156" s="11"/>
    </row>
    <row r="157" spans="1:6" ht="15.95" customHeight="1">
      <c r="A157" s="63" t="s">
        <v>36</v>
      </c>
      <c r="B157" s="64">
        <v>33</v>
      </c>
      <c r="C157" s="65">
        <v>33</v>
      </c>
      <c r="D157" s="97" t="s">
        <v>565</v>
      </c>
      <c r="E157" s="66" t="s">
        <v>564</v>
      </c>
      <c r="F157" s="78">
        <f>SUM(F158,F186)</f>
        <v>-607952649.86000001</v>
      </c>
    </row>
    <row r="158" spans="1:6" ht="15.95" customHeight="1">
      <c r="A158" s="23" t="s">
        <v>36</v>
      </c>
      <c r="B158" s="24">
        <v>331</v>
      </c>
      <c r="C158" s="25"/>
      <c r="D158" s="86" t="s">
        <v>567</v>
      </c>
      <c r="E158" s="26" t="s">
        <v>566</v>
      </c>
      <c r="F158" s="17">
        <f>SUM(F159:F160,F168,F180:F183)</f>
        <v>-527205237.75</v>
      </c>
    </row>
    <row r="159" spans="1:6" ht="15.95" customHeight="1">
      <c r="A159" s="23" t="s">
        <v>36</v>
      </c>
      <c r="B159" s="24">
        <v>3312</v>
      </c>
      <c r="C159" s="25"/>
      <c r="D159" s="87" t="s">
        <v>507</v>
      </c>
      <c r="E159" s="27" t="s">
        <v>506</v>
      </c>
      <c r="F159" s="16">
        <f>SUMIFS(KONSOLIDIRANA!$K$15:$K$490,KONSOLIDIRANA!$D$15:$D$490,"="&amp;$B159&amp;".1")-SUMIFS(KONSOLIDIRANA!$K$15:$K$490,KONSOLIDIRANA!$D$15:$D$490,"="&amp;$B159&amp;".2")</f>
        <v>0</v>
      </c>
    </row>
    <row r="160" spans="1:6" ht="15.95" customHeight="1">
      <c r="A160" s="23" t="s">
        <v>36</v>
      </c>
      <c r="B160" s="24">
        <v>3313</v>
      </c>
      <c r="C160" s="25"/>
      <c r="D160" s="90" t="s">
        <v>509</v>
      </c>
      <c r="E160" s="27" t="s">
        <v>508</v>
      </c>
      <c r="F160" s="18">
        <f>SUM(F161,F167,F164)</f>
        <v>27909683</v>
      </c>
    </row>
    <row r="161" spans="1:6" ht="15.95" customHeight="1">
      <c r="A161" s="23" t="s">
        <v>36</v>
      </c>
      <c r="B161" s="24" t="s">
        <v>216</v>
      </c>
      <c r="C161" s="25"/>
      <c r="D161" s="88" t="s">
        <v>569</v>
      </c>
      <c r="E161" s="28" t="s">
        <v>568</v>
      </c>
      <c r="F161" s="13">
        <f>SUM(F162:F163)</f>
        <v>27954185</v>
      </c>
    </row>
    <row r="162" spans="1:6" ht="15.95" customHeight="1">
      <c r="A162" s="23" t="s">
        <v>802</v>
      </c>
      <c r="B162" s="24" t="s">
        <v>570</v>
      </c>
      <c r="C162" s="25"/>
      <c r="D162" s="89" t="s">
        <v>571</v>
      </c>
      <c r="E162" s="31" t="s">
        <v>571</v>
      </c>
      <c r="F162" s="11">
        <f>SUMIFS(KONSOLIDIRANA!$K$15:$K$491,KONSOLIDIRANA!$D$15:$D$491,"="&amp;HRT!$B162)</f>
        <v>27954185</v>
      </c>
    </row>
    <row r="163" spans="1:6" ht="15.95" customHeight="1">
      <c r="A163" s="23" t="s">
        <v>803</v>
      </c>
      <c r="B163" s="24" t="s">
        <v>572</v>
      </c>
      <c r="C163" s="25"/>
      <c r="D163" s="89" t="s">
        <v>573</v>
      </c>
      <c r="E163" s="31" t="s">
        <v>573</v>
      </c>
      <c r="F163" s="11">
        <f>SUMIFS(KONSOLIDIRANA!$K$15:$K$491,KONSOLIDIRANA!$D$15:$D$491,"="&amp;HRT!$B163)</f>
        <v>0</v>
      </c>
    </row>
    <row r="164" spans="1:6" ht="15.95" customHeight="1">
      <c r="A164" s="23" t="s">
        <v>36</v>
      </c>
      <c r="B164" s="24" t="s">
        <v>232</v>
      </c>
      <c r="C164" s="25"/>
      <c r="D164" s="88" t="s">
        <v>575</v>
      </c>
      <c r="E164" s="28" t="s">
        <v>574</v>
      </c>
      <c r="F164" s="13">
        <f>SUM(F165:F166)</f>
        <v>-44502</v>
      </c>
    </row>
    <row r="165" spans="1:6" ht="15.95" customHeight="1">
      <c r="A165" s="23" t="s">
        <v>802</v>
      </c>
      <c r="B165" s="24" t="s">
        <v>644</v>
      </c>
      <c r="C165" s="25"/>
      <c r="D165" s="89" t="s">
        <v>571</v>
      </c>
      <c r="E165" s="31" t="s">
        <v>571</v>
      </c>
      <c r="F165" s="11">
        <f>-SUMIFS(KONSOLIDIRANA!$K$15:$K$491,KONSOLIDIRANA!$D$15:$D$491,"="&amp;HRT!$B165)</f>
        <v>0</v>
      </c>
    </row>
    <row r="166" spans="1:6" ht="15.95" customHeight="1">
      <c r="A166" s="23" t="s">
        <v>803</v>
      </c>
      <c r="B166" s="24" t="s">
        <v>645</v>
      </c>
      <c r="C166" s="25"/>
      <c r="D166" s="89" t="s">
        <v>573</v>
      </c>
      <c r="E166" s="31" t="s">
        <v>573</v>
      </c>
      <c r="F166" s="11">
        <f>-SUMIFS(KONSOLIDIRANA!$K$15:$K$491,KONSOLIDIRANA!$D$15:$D$491,"="&amp;HRT!$B166)</f>
        <v>-44502</v>
      </c>
    </row>
    <row r="167" spans="1:6" ht="15.95" customHeight="1">
      <c r="A167" s="23" t="s">
        <v>36</v>
      </c>
      <c r="B167" s="24" t="s">
        <v>576</v>
      </c>
      <c r="C167" s="25"/>
      <c r="D167" s="95" t="s">
        <v>578</v>
      </c>
      <c r="E167" s="39" t="s">
        <v>577</v>
      </c>
      <c r="F167" s="11">
        <f>SUMIFS(KONSOLIDIRANA!$K$15:$K$491,KONSOLIDIRANA!$D$15:$D$491,"="&amp;HRT!$B167)</f>
        <v>0</v>
      </c>
    </row>
    <row r="168" spans="1:6" ht="15.95" customHeight="1">
      <c r="A168" s="23" t="s">
        <v>804</v>
      </c>
      <c r="B168" s="24">
        <v>3314</v>
      </c>
      <c r="C168" s="25"/>
      <c r="D168" s="87" t="s">
        <v>259</v>
      </c>
      <c r="E168" s="27" t="s">
        <v>510</v>
      </c>
      <c r="F168" s="13">
        <f>SUM(F169:F171,F178:F179)</f>
        <v>-7443906.2200000007</v>
      </c>
    </row>
    <row r="169" spans="1:6" ht="15.95" customHeight="1">
      <c r="A169" s="23" t="s">
        <v>36</v>
      </c>
      <c r="B169" s="24" t="s">
        <v>579</v>
      </c>
      <c r="C169" s="25"/>
      <c r="D169" s="88" t="s">
        <v>515</v>
      </c>
      <c r="E169" s="28" t="s">
        <v>514</v>
      </c>
      <c r="F169" s="16">
        <f>SUMIFS(KONSOLIDIRANA!$K$15:$K$490,KONSOLIDIRANA!$D$15:$D$490,"="&amp;$B169&amp;".1")-SUMIFS(KONSOLIDIRANA!$K$15:$K$490,KONSOLIDIRANA!$D$15:$D$490,"="&amp;$B169&amp;".2")</f>
        <v>4045482.0499999989</v>
      </c>
    </row>
    <row r="170" spans="1:6" ht="15.95" customHeight="1">
      <c r="A170" s="23" t="s">
        <v>36</v>
      </c>
      <c r="B170" s="24" t="s">
        <v>580</v>
      </c>
      <c r="C170" s="25"/>
      <c r="D170" s="88" t="s">
        <v>518</v>
      </c>
      <c r="E170" s="28" t="s">
        <v>517</v>
      </c>
      <c r="F170" s="16">
        <f>SUMIFS(KONSOLIDIRANA!$K$15:$K$490,KONSOLIDIRANA!$D$15:$D$490,"="&amp;$B170&amp;".1")-SUMIFS(KONSOLIDIRANA!$K$15:$K$490,KONSOLIDIRANA!$D$15:$D$490,"="&amp;$B170&amp;".2")</f>
        <v>0</v>
      </c>
    </row>
    <row r="171" spans="1:6" ht="15.95" customHeight="1">
      <c r="A171" s="23" t="s">
        <v>36</v>
      </c>
      <c r="B171" s="24" t="s">
        <v>581</v>
      </c>
      <c r="C171" s="25"/>
      <c r="D171" s="88" t="s">
        <v>521</v>
      </c>
      <c r="E171" s="28" t="s">
        <v>520</v>
      </c>
      <c r="F171" s="13">
        <f>SUM(F172,F175)</f>
        <v>-9801463.7799999993</v>
      </c>
    </row>
    <row r="172" spans="1:6" ht="15.95" customHeight="1">
      <c r="A172" s="23" t="s">
        <v>805</v>
      </c>
      <c r="B172" s="24" t="s">
        <v>582</v>
      </c>
      <c r="C172" s="25"/>
      <c r="D172" s="89" t="s">
        <v>584</v>
      </c>
      <c r="E172" s="31" t="s">
        <v>583</v>
      </c>
      <c r="F172" s="12">
        <f>SUMIFS(KONSOLIDIRANA!$K$15:$K$491,KONSOLIDIRANA!$D$15:$D$491,"="&amp;HRT!$B172)-SUMIFS(KONSOLIDIRANA!$K$15:$K$491,KONSOLIDIRANA!$C$15:$C$491,"="&amp;HRT!$B172)</f>
        <v>0</v>
      </c>
    </row>
    <row r="173" spans="1:6" ht="15.95" customHeight="1">
      <c r="A173" s="23" t="s">
        <v>36</v>
      </c>
      <c r="B173" s="24" t="s">
        <v>649</v>
      </c>
      <c r="C173" s="25"/>
      <c r="D173" s="117" t="s">
        <v>533</v>
      </c>
      <c r="E173" s="55" t="s">
        <v>532</v>
      </c>
      <c r="F173" s="11">
        <v>0</v>
      </c>
    </row>
    <row r="174" spans="1:6" ht="15.95" customHeight="1">
      <c r="A174" s="23" t="s">
        <v>36</v>
      </c>
      <c r="B174" s="24" t="s">
        <v>649</v>
      </c>
      <c r="C174" s="25"/>
      <c r="D174" s="116" t="s">
        <v>263</v>
      </c>
      <c r="E174" s="56" t="s">
        <v>41</v>
      </c>
      <c r="F174" s="11">
        <v>0</v>
      </c>
    </row>
    <row r="175" spans="1:6" ht="15.95" customHeight="1">
      <c r="A175" s="23" t="s">
        <v>806</v>
      </c>
      <c r="B175" s="24" t="s">
        <v>585</v>
      </c>
      <c r="C175" s="25"/>
      <c r="D175" s="89" t="s">
        <v>587</v>
      </c>
      <c r="E175" s="31" t="s">
        <v>586</v>
      </c>
      <c r="F175" s="12">
        <f>-SUMIFS(KONSOLIDIRANA!$K$15:$K$491,KONSOLIDIRANA!$D$15:$D$491,"="&amp;HRT!$B175)+SUMIFS(KONSOLIDIRANA!$K$15:$K$491,KONSOLIDIRANA!$C$15:$C$491,"="&amp;HRT!$B175)</f>
        <v>-9801463.7799999993</v>
      </c>
    </row>
    <row r="176" spans="1:6" ht="15.95" customHeight="1">
      <c r="A176" s="23" t="s">
        <v>36</v>
      </c>
      <c r="B176" s="24" t="s">
        <v>649</v>
      </c>
      <c r="C176" s="25"/>
      <c r="D176" s="115" t="s">
        <v>526</v>
      </c>
      <c r="E176" s="55" t="s">
        <v>611</v>
      </c>
      <c r="F176" s="11">
        <v>0</v>
      </c>
    </row>
    <row r="177" spans="1:6" ht="15.95" customHeight="1">
      <c r="A177" s="23" t="s">
        <v>36</v>
      </c>
      <c r="B177" s="24" t="s">
        <v>649</v>
      </c>
      <c r="C177" s="25"/>
      <c r="D177" s="116" t="s">
        <v>263</v>
      </c>
      <c r="E177" s="56" t="s">
        <v>41</v>
      </c>
      <c r="F177" s="11">
        <v>0</v>
      </c>
    </row>
    <row r="178" spans="1:6" ht="15.95" customHeight="1">
      <c r="A178" s="23" t="s">
        <v>36</v>
      </c>
      <c r="B178" s="24" t="s">
        <v>588</v>
      </c>
      <c r="C178" s="25"/>
      <c r="D178" s="88" t="s">
        <v>537</v>
      </c>
      <c r="E178" s="28" t="s">
        <v>536</v>
      </c>
      <c r="F178" s="16">
        <f>SUMIFS(KONSOLIDIRANA!$K$15:$K$490,KONSOLIDIRANA!$D$15:$D$490,"="&amp;$B178&amp;".1")-SUMIFS(KONSOLIDIRANA!$K$15:$K$490,KONSOLIDIRANA!$D$15:$D$490,"="&amp;$B178&amp;".2")</f>
        <v>0</v>
      </c>
    </row>
    <row r="179" spans="1:6" ht="15.95" customHeight="1">
      <c r="A179" s="23" t="s">
        <v>36</v>
      </c>
      <c r="B179" s="24" t="s">
        <v>589</v>
      </c>
      <c r="C179" s="25"/>
      <c r="D179" s="88" t="s">
        <v>258</v>
      </c>
      <c r="E179" s="28" t="s">
        <v>544</v>
      </c>
      <c r="F179" s="16">
        <f>SUMIFS(KONSOLIDIRANA!$K$15:$K$490,KONSOLIDIRANA!$D$15:$D$490,"="&amp;$B179&amp;".1")-SUMIFS(KONSOLIDIRANA!$K$15:$K$490,KONSOLIDIRANA!$D$15:$D$490,"="&amp;$B179&amp;".2")</f>
        <v>-1687924.49</v>
      </c>
    </row>
    <row r="180" spans="1:6" ht="15.95" customHeight="1">
      <c r="A180" s="23" t="s">
        <v>36</v>
      </c>
      <c r="B180" s="24">
        <v>3315</v>
      </c>
      <c r="C180" s="25"/>
      <c r="D180" s="87" t="s">
        <v>561</v>
      </c>
      <c r="E180" s="27" t="s">
        <v>545</v>
      </c>
      <c r="F180" s="16">
        <f>SUMIFS(KONSOLIDIRANA!$K$15:$K$490,KONSOLIDIRANA!$D$15:$D$490,"="&amp;$B180&amp;".1")-SUMIFS(KONSOLIDIRANA!$K$15:$K$490,KONSOLIDIRANA!$D$15:$D$490,"="&amp;$B180&amp;".2")</f>
        <v>0</v>
      </c>
    </row>
    <row r="181" spans="1:6" ht="15.95" customHeight="1">
      <c r="A181" s="23" t="s">
        <v>36</v>
      </c>
      <c r="B181" s="24">
        <v>3316</v>
      </c>
      <c r="C181" s="25"/>
      <c r="D181" s="87" t="s">
        <v>552</v>
      </c>
      <c r="E181" s="27" t="s">
        <v>551</v>
      </c>
      <c r="F181" s="16">
        <f>SUMIFS(KONSOLIDIRANA!$K$15:$K$490,KONSOLIDIRANA!$D$15:$D$490,"="&amp;$B181&amp;".1")-SUMIFS(KONSOLIDIRANA!$K$15:$K$490,KONSOLIDIRANA!$D$15:$D$490,"="&amp;$B181&amp;".2")</f>
        <v>0</v>
      </c>
    </row>
    <row r="182" spans="1:6" ht="15.95" customHeight="1">
      <c r="A182" s="23" t="s">
        <v>36</v>
      </c>
      <c r="B182" s="24">
        <v>3317</v>
      </c>
      <c r="C182" s="25"/>
      <c r="D182" s="87" t="s">
        <v>554</v>
      </c>
      <c r="E182" s="27" t="s">
        <v>553</v>
      </c>
      <c r="F182" s="16">
        <f>SUMIFS(KONSOLIDIRANA!$K$15:$K$490,KONSOLIDIRANA!$D$15:$D$490,"="&amp;$B182&amp;".1")-SUMIFS(KONSOLIDIRANA!$K$15:$K$490,KONSOLIDIRANA!$D$15:$D$490,"="&amp;$B182&amp;".2")</f>
        <v>0</v>
      </c>
    </row>
    <row r="183" spans="1:6" ht="15.95" customHeight="1">
      <c r="A183" s="23" t="s">
        <v>807</v>
      </c>
      <c r="B183" s="24">
        <v>3318</v>
      </c>
      <c r="C183" s="25"/>
      <c r="D183" s="90" t="s">
        <v>255</v>
      </c>
      <c r="E183" s="33" t="s">
        <v>590</v>
      </c>
      <c r="F183" s="345">
        <f>SUM(KONSOLIDIRANA!K287:K290)+SUM(KONSOLIDIRANA!K292:K293)-SUM(KONSOLIDIRANA!J287:J290)-SUM(KONSOLIDIRANA!J292:J293)</f>
        <v>-547671014.52999997</v>
      </c>
    </row>
    <row r="184" spans="1:6" ht="15.95" customHeight="1">
      <c r="A184" s="23" t="s">
        <v>36</v>
      </c>
      <c r="B184" s="24" t="s">
        <v>651</v>
      </c>
      <c r="C184" s="25"/>
      <c r="D184" s="104" t="s">
        <v>592</v>
      </c>
      <c r="E184" s="35" t="s">
        <v>591</v>
      </c>
      <c r="F184" s="11">
        <v>0</v>
      </c>
    </row>
    <row r="185" spans="1:6" ht="15.95" customHeight="1">
      <c r="A185" s="23" t="s">
        <v>36</v>
      </c>
      <c r="B185" s="24" t="s">
        <v>651</v>
      </c>
      <c r="C185" s="25"/>
      <c r="D185" s="119" t="s">
        <v>594</v>
      </c>
      <c r="E185" s="35" t="s">
        <v>593</v>
      </c>
      <c r="F185" s="11">
        <v>0</v>
      </c>
    </row>
    <row r="186" spans="1:6" ht="15.95" customHeight="1">
      <c r="A186" s="23" t="s">
        <v>36</v>
      </c>
      <c r="B186" s="24">
        <v>332</v>
      </c>
      <c r="C186" s="25"/>
      <c r="D186" s="86" t="s">
        <v>596</v>
      </c>
      <c r="E186" s="26" t="s">
        <v>595</v>
      </c>
      <c r="F186" s="15">
        <f>SUM(F187:F189,F196:F199)</f>
        <v>-80747412.109999985</v>
      </c>
    </row>
    <row r="187" spans="1:6" ht="15.95" customHeight="1">
      <c r="A187" s="23" t="s">
        <v>36</v>
      </c>
      <c r="B187" s="24">
        <v>3322</v>
      </c>
      <c r="C187" s="25"/>
      <c r="D187" s="87" t="s">
        <v>507</v>
      </c>
      <c r="E187" s="27" t="s">
        <v>506</v>
      </c>
      <c r="F187" s="16">
        <f>SUMIFS(KONSOLIDIRANA!$K$15:$K$490,KONSOLIDIRANA!$D$15:$D$490,"="&amp;$B187&amp;".1")-SUMIFS(KONSOLIDIRANA!$K$15:$K$490,KONSOLIDIRANA!$D$15:$D$490,"="&amp;$B187&amp;".2")</f>
        <v>0</v>
      </c>
    </row>
    <row r="188" spans="1:6" ht="15.95" customHeight="1">
      <c r="A188" s="23" t="s">
        <v>36</v>
      </c>
      <c r="B188" s="24">
        <v>3323</v>
      </c>
      <c r="C188" s="25"/>
      <c r="D188" s="87" t="s">
        <v>509</v>
      </c>
      <c r="E188" s="27" t="s">
        <v>508</v>
      </c>
      <c r="F188" s="16">
        <f>SUMIFS(KONSOLIDIRANA!$K$15:$K$490,KONSOLIDIRANA!$D$15:$D$490,"="&amp;$B188&amp;".1")-SUMIFS(KONSOLIDIRANA!$K$15:$K$490,KONSOLIDIRANA!$D$15:$D$490,"="&amp;$B188&amp;".2")</f>
        <v>0</v>
      </c>
    </row>
    <row r="189" spans="1:6" ht="15.95" customHeight="1">
      <c r="A189" s="23" t="s">
        <v>808</v>
      </c>
      <c r="B189" s="24">
        <v>3324</v>
      </c>
      <c r="C189" s="25"/>
      <c r="D189" s="87" t="s">
        <v>597</v>
      </c>
      <c r="E189" s="27" t="s">
        <v>510</v>
      </c>
      <c r="F189" s="13">
        <f>SUM(F190,F193)</f>
        <v>-80747412.109999985</v>
      </c>
    </row>
    <row r="190" spans="1:6" ht="15.95" customHeight="1">
      <c r="A190" s="23" t="s">
        <v>808</v>
      </c>
      <c r="B190" s="24" t="s">
        <v>212</v>
      </c>
      <c r="C190" s="25"/>
      <c r="D190" s="88" t="s">
        <v>599</v>
      </c>
      <c r="E190" s="28" t="s">
        <v>598</v>
      </c>
      <c r="F190" s="11">
        <f>SUMIFS(KONSOLIDIRANA!$K$15:$K$491,KONSOLIDIRANA!$D$15:$D$491,"="&amp;HRT!$B190)</f>
        <v>108042948</v>
      </c>
    </row>
    <row r="191" spans="1:6" ht="15.95" customHeight="1">
      <c r="A191" s="23" t="s">
        <v>36</v>
      </c>
      <c r="B191" s="24" t="s">
        <v>649</v>
      </c>
      <c r="C191" s="25"/>
      <c r="D191" s="89" t="s">
        <v>600</v>
      </c>
      <c r="E191" s="31" t="s">
        <v>305</v>
      </c>
      <c r="F191" s="11">
        <v>0</v>
      </c>
    </row>
    <row r="192" spans="1:6" ht="15.95" customHeight="1">
      <c r="A192" s="23" t="s">
        <v>36</v>
      </c>
      <c r="B192" s="24" t="s">
        <v>649</v>
      </c>
      <c r="C192" s="25"/>
      <c r="D192" s="89" t="s">
        <v>601</v>
      </c>
      <c r="E192" s="31" t="s">
        <v>308</v>
      </c>
      <c r="F192" s="11">
        <v>0</v>
      </c>
    </row>
    <row r="193" spans="1:7" ht="15.95" customHeight="1">
      <c r="A193" s="23" t="s">
        <v>715</v>
      </c>
      <c r="B193" s="24" t="s">
        <v>229</v>
      </c>
      <c r="C193" s="25"/>
      <c r="D193" s="88" t="s">
        <v>602</v>
      </c>
      <c r="E193" s="28" t="s">
        <v>574</v>
      </c>
      <c r="F193" s="11">
        <f>-SUMIFS(KONSOLIDIRANA!$K$15:$K$491,KONSOLIDIRANA!$D$15:$D$491,"="&amp;HRT!$B193)</f>
        <v>-188790360.10999998</v>
      </c>
    </row>
    <row r="194" spans="1:7" ht="15.95" customHeight="1">
      <c r="A194" s="23"/>
      <c r="B194" s="24" t="s">
        <v>649</v>
      </c>
      <c r="C194" s="25"/>
      <c r="D194" s="89" t="s">
        <v>604</v>
      </c>
      <c r="E194" s="31" t="s">
        <v>603</v>
      </c>
      <c r="F194" s="11">
        <v>0</v>
      </c>
    </row>
    <row r="195" spans="1:7" ht="15.95" customHeight="1">
      <c r="A195" s="23"/>
      <c r="B195" s="24" t="s">
        <v>649</v>
      </c>
      <c r="C195" s="25"/>
      <c r="D195" s="89" t="s">
        <v>606</v>
      </c>
      <c r="E195" s="31" t="s">
        <v>605</v>
      </c>
      <c r="F195" s="11">
        <v>0</v>
      </c>
    </row>
    <row r="196" spans="1:7" ht="15.95" customHeight="1">
      <c r="A196" s="23" t="s">
        <v>36</v>
      </c>
      <c r="B196" s="24">
        <v>3325</v>
      </c>
      <c r="C196" s="25"/>
      <c r="D196" s="87" t="s">
        <v>561</v>
      </c>
      <c r="E196" s="27" t="s">
        <v>545</v>
      </c>
      <c r="F196" s="16">
        <f>SUMIFS(KONSOLIDIRANA!$K$15:$K$490,KONSOLIDIRANA!$D$15:$D$490,"="&amp;$B196&amp;".1")-SUMIFS(KONSOLIDIRANA!$K$15:$K$490,KONSOLIDIRANA!$D$15:$D$490,"="&amp;$B196&amp;".2")</f>
        <v>0</v>
      </c>
    </row>
    <row r="197" spans="1:7" ht="15.95" customHeight="1">
      <c r="A197" s="23" t="s">
        <v>36</v>
      </c>
      <c r="B197" s="24">
        <v>3326</v>
      </c>
      <c r="C197" s="25"/>
      <c r="D197" s="87" t="s">
        <v>552</v>
      </c>
      <c r="E197" s="27" t="s">
        <v>551</v>
      </c>
      <c r="F197" s="16">
        <f>SUMIFS(KONSOLIDIRANA!$K$15:$K$490,KONSOLIDIRANA!$D$15:$D$490,"="&amp;$B197&amp;".1")-SUMIFS(KONSOLIDIRANA!$K$15:$K$490,KONSOLIDIRANA!$D$15:$D$490,"="&amp;$B197&amp;".2")</f>
        <v>0</v>
      </c>
    </row>
    <row r="198" spans="1:7" ht="15.95" customHeight="1">
      <c r="A198" s="23" t="s">
        <v>36</v>
      </c>
      <c r="B198" s="24">
        <v>3327</v>
      </c>
      <c r="C198" s="25"/>
      <c r="D198" s="87" t="s">
        <v>554</v>
      </c>
      <c r="E198" s="27" t="s">
        <v>553</v>
      </c>
      <c r="F198" s="16">
        <f>SUMIFS(KONSOLIDIRANA!$K$15:$K$490,KONSOLIDIRANA!$D$15:$D$490,"="&amp;$B198&amp;".1")-SUMIFS(KONSOLIDIRANA!$K$15:$K$490,KONSOLIDIRANA!$D$15:$D$490,"="&amp;$B198&amp;".2")</f>
        <v>0</v>
      </c>
    </row>
    <row r="199" spans="1:7" ht="15.95" customHeight="1">
      <c r="A199" s="58" t="s">
        <v>36</v>
      </c>
      <c r="B199" s="59">
        <v>3328</v>
      </c>
      <c r="C199" s="60"/>
      <c r="D199" s="120" t="s">
        <v>255</v>
      </c>
      <c r="E199" s="61" t="s">
        <v>590</v>
      </c>
      <c r="F199" s="16">
        <f>SUMIFS(KONSOLIDIRANA!$K$15:$K$490,KONSOLIDIRANA!$D$15:$D$490,"="&amp;$B199&amp;".1")-SUMIFS(KONSOLIDIRANA!$K$15:$K$490,KONSOLIDIRANA!$D$15:$D$490,"="&amp;$B199&amp;".2")</f>
        <v>0</v>
      </c>
    </row>
    <row r="200" spans="1:7">
      <c r="D200" s="6"/>
      <c r="E200" s="6"/>
      <c r="F200" s="62"/>
    </row>
    <row r="201" spans="1:7">
      <c r="D201" s="7" t="s">
        <v>613</v>
      </c>
      <c r="E201" s="7" t="s">
        <v>612</v>
      </c>
      <c r="F201" s="216">
        <f>F119-F117</f>
        <v>-36247623.949999213</v>
      </c>
      <c r="G201" s="5"/>
    </row>
    <row r="202" spans="1:7">
      <c r="A202" s="324" t="s">
        <v>923</v>
      </c>
      <c r="B202" s="325" t="s">
        <v>922</v>
      </c>
      <c r="C202" s="326"/>
      <c r="D202" s="329" t="s">
        <v>921</v>
      </c>
      <c r="E202" s="330" t="s">
        <v>921</v>
      </c>
      <c r="F202" s="328">
        <f>SUMIFS(KONSOLIDIRANA!$K$15:$K$491,KONSOLIDIRANA!$D$15:$D$491,"="&amp;HRT!$B202)</f>
        <v>6.02</v>
      </c>
    </row>
    <row r="203" spans="1:7">
      <c r="F203" s="327">
        <f>F201+KONSOLIDIRANA!K273-F202</f>
        <v>331965817.94000161</v>
      </c>
    </row>
  </sheetData>
  <pageMargins left="0" right="0" top="0.15748031496062992" bottom="0.15748031496062992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R399"/>
  <sheetViews>
    <sheetView tabSelected="1" topLeftCell="C7" zoomScale="110" zoomScaleNormal="110" zoomScaleSheetLayoutView="80" workbookViewId="0">
      <selection activeCell="K143" sqref="K143:L143"/>
    </sheetView>
  </sheetViews>
  <sheetFormatPr defaultColWidth="8" defaultRowHeight="12.75"/>
  <cols>
    <col min="1" max="1" width="6.5" style="129" customWidth="1"/>
    <col min="2" max="2" width="6.125" style="129" customWidth="1"/>
    <col min="3" max="3" width="5.875" style="127" customWidth="1"/>
    <col min="4" max="4" width="6.125" style="127" customWidth="1"/>
    <col min="5" max="5" width="3.625" style="129" customWidth="1"/>
    <col min="6" max="6" width="7" style="158" customWidth="1"/>
    <col min="7" max="7" width="6.375" style="158" customWidth="1"/>
    <col min="8" max="8" width="7.125" style="129" customWidth="1"/>
    <col min="9" max="9" width="35.625" style="129" customWidth="1"/>
    <col min="10" max="10" width="13.375" style="129" customWidth="1"/>
    <col min="11" max="11" width="12.125" style="129" customWidth="1"/>
    <col min="12" max="12" width="11.625" style="129" customWidth="1"/>
    <col min="13" max="13" width="6.625" style="129" customWidth="1"/>
    <col min="14" max="14" width="7.125" style="129" customWidth="1"/>
    <col min="15" max="15" width="10.5" style="129" bestFit="1" customWidth="1"/>
    <col min="16" max="18" width="13" style="129" customWidth="1"/>
    <col min="19" max="16384" width="8" style="129"/>
  </cols>
  <sheetData>
    <row r="1" spans="1:18">
      <c r="E1" s="211" t="s">
        <v>657</v>
      </c>
      <c r="F1" s="211"/>
      <c r="G1" s="211"/>
      <c r="H1" s="211"/>
      <c r="I1" s="128"/>
    </row>
    <row r="2" spans="1:18">
      <c r="E2" s="211" t="s">
        <v>658</v>
      </c>
      <c r="F2" s="211"/>
      <c r="G2" s="211"/>
      <c r="H2" s="211"/>
      <c r="I2" s="128"/>
      <c r="N2" s="130"/>
    </row>
    <row r="3" spans="1:18">
      <c r="E3" s="211"/>
      <c r="F3" s="211"/>
      <c r="G3" s="211"/>
      <c r="H3" s="211"/>
      <c r="I3" s="128"/>
    </row>
    <row r="4" spans="1:18">
      <c r="E4" s="211" t="s">
        <v>659</v>
      </c>
      <c r="F4" s="211"/>
      <c r="G4" s="211"/>
      <c r="H4" s="211"/>
      <c r="I4" s="128"/>
      <c r="J4" s="131"/>
      <c r="K4" s="131"/>
      <c r="L4" s="131"/>
      <c r="M4" s="131"/>
      <c r="P4" s="131"/>
    </row>
    <row r="5" spans="1:18">
      <c r="E5" s="140"/>
      <c r="F5" s="140"/>
      <c r="G5" s="343"/>
      <c r="H5" s="343"/>
      <c r="I5" s="137"/>
      <c r="J5" s="132"/>
      <c r="K5" s="132"/>
      <c r="L5" s="133"/>
      <c r="M5" s="133"/>
      <c r="N5" s="134"/>
    </row>
    <row r="6" spans="1:18">
      <c r="E6" s="212"/>
      <c r="F6" s="212"/>
      <c r="G6" s="212"/>
      <c r="H6" s="212"/>
      <c r="I6" s="135"/>
      <c r="J6" s="136"/>
      <c r="K6" s="136"/>
      <c r="L6" s="136"/>
      <c r="M6" s="136"/>
      <c r="N6" s="137"/>
    </row>
    <row r="7" spans="1:18" s="321" customFormat="1" ht="18" customHeight="1">
      <c r="A7" s="318" t="s">
        <v>966</v>
      </c>
      <c r="B7" s="319"/>
      <c r="C7" s="320"/>
      <c r="D7" s="320"/>
      <c r="E7" s="320"/>
      <c r="F7" s="320"/>
    </row>
    <row r="8" spans="1:18">
      <c r="E8" s="212"/>
      <c r="F8" s="212"/>
      <c r="G8" s="212"/>
      <c r="H8" s="212"/>
      <c r="I8" s="135"/>
      <c r="J8" s="136"/>
      <c r="K8" s="138"/>
      <c r="L8" s="136"/>
      <c r="M8" s="136"/>
      <c r="N8" s="137"/>
    </row>
    <row r="9" spans="1:18" ht="12.6" customHeight="1">
      <c r="E9" s="212"/>
      <c r="F9" s="212"/>
      <c r="G9" s="212"/>
      <c r="H9" s="212"/>
      <c r="I9" s="341"/>
      <c r="J9" s="136"/>
      <c r="K9" s="136"/>
      <c r="L9" s="136"/>
      <c r="M9" s="136"/>
      <c r="N9" s="137"/>
    </row>
    <row r="10" spans="1:18" ht="15.75">
      <c r="F10" s="129"/>
      <c r="G10" s="127"/>
      <c r="H10" s="127"/>
      <c r="I10" s="139" t="s">
        <v>660</v>
      </c>
      <c r="J10" s="139"/>
      <c r="K10" s="139"/>
      <c r="L10" s="139"/>
      <c r="M10" s="140"/>
      <c r="N10" s="140"/>
    </row>
    <row r="11" spans="1:18" s="143" customFormat="1" ht="15">
      <c r="G11" s="141"/>
      <c r="H11" s="141"/>
      <c r="I11" s="213" t="s">
        <v>965</v>
      </c>
      <c r="J11" s="213"/>
      <c r="K11" s="213"/>
      <c r="L11" s="214"/>
      <c r="M11" s="142"/>
    </row>
    <row r="12" spans="1:18" ht="14.25">
      <c r="D12" s="143"/>
      <c r="E12" s="158"/>
      <c r="G12" s="215" t="s">
        <v>661</v>
      </c>
      <c r="H12" s="158"/>
    </row>
    <row r="13" spans="1:18" ht="74.45" customHeight="1">
      <c r="A13" s="219" t="s">
        <v>787</v>
      </c>
      <c r="B13" s="219" t="s">
        <v>788</v>
      </c>
      <c r="C13" s="256" t="s">
        <v>725</v>
      </c>
      <c r="D13" s="256" t="s">
        <v>726</v>
      </c>
      <c r="E13" s="144" t="s">
        <v>662</v>
      </c>
      <c r="F13" s="121" t="s">
        <v>716</v>
      </c>
      <c r="G13" s="121" t="s">
        <v>663</v>
      </c>
      <c r="H13" s="144" t="s">
        <v>664</v>
      </c>
      <c r="I13" s="145" t="s">
        <v>665</v>
      </c>
      <c r="J13" s="146" t="s">
        <v>666</v>
      </c>
      <c r="K13" s="146" t="s">
        <v>667</v>
      </c>
      <c r="L13" s="146" t="s">
        <v>668</v>
      </c>
      <c r="M13" s="146" t="s">
        <v>669</v>
      </c>
      <c r="N13" s="146" t="s">
        <v>670</v>
      </c>
    </row>
    <row r="14" spans="1:18">
      <c r="A14" s="257"/>
      <c r="B14" s="257"/>
      <c r="C14" s="258"/>
      <c r="D14" s="258"/>
      <c r="E14" s="147"/>
      <c r="F14" s="122"/>
      <c r="G14" s="148"/>
      <c r="H14" s="149"/>
      <c r="I14" s="150"/>
      <c r="J14" s="151">
        <v>1</v>
      </c>
      <c r="K14" s="151">
        <v>2</v>
      </c>
      <c r="L14" s="151">
        <v>3</v>
      </c>
      <c r="M14" s="151">
        <v>4</v>
      </c>
      <c r="N14" s="151">
        <v>5</v>
      </c>
    </row>
    <row r="15" spans="1:18" ht="22.5" customHeight="1">
      <c r="A15" s="257"/>
      <c r="B15" s="257"/>
      <c r="C15" s="258"/>
      <c r="D15" s="258"/>
      <c r="E15" s="260"/>
      <c r="F15" s="260"/>
      <c r="G15" s="261" t="s">
        <v>671</v>
      </c>
      <c r="H15" s="266"/>
      <c r="I15" s="153" t="s">
        <v>0</v>
      </c>
      <c r="J15" s="267"/>
      <c r="K15" s="268"/>
      <c r="L15" s="268"/>
      <c r="M15" s="269"/>
      <c r="N15" s="269"/>
      <c r="O15" s="155"/>
    </row>
    <row r="16" spans="1:18" ht="22.5" customHeight="1">
      <c r="A16" s="257"/>
      <c r="B16" s="257"/>
      <c r="C16" s="258"/>
      <c r="D16" s="258"/>
      <c r="E16" s="262">
        <v>1</v>
      </c>
      <c r="F16" s="262"/>
      <c r="G16" s="260">
        <v>1</v>
      </c>
      <c r="H16" s="270"/>
      <c r="I16" s="154" t="s">
        <v>672</v>
      </c>
      <c r="J16" s="271">
        <v>14020904390.170002</v>
      </c>
      <c r="K16" s="271">
        <v>3214874014.3200006</v>
      </c>
      <c r="L16" s="271">
        <v>2861055314.6700001</v>
      </c>
      <c r="M16" s="269">
        <f t="shared" ref="M16:M79" si="0">IFERROR(SUM(K16/J16),"")</f>
        <v>0.22929148682976083</v>
      </c>
      <c r="N16" s="269">
        <f>IFERROR(SUM(K16/L16),"")</f>
        <v>1.1236671999439518</v>
      </c>
      <c r="P16" s="155"/>
      <c r="Q16" s="155"/>
      <c r="R16" s="155"/>
    </row>
    <row r="17" spans="1:17" ht="22.5" customHeight="1">
      <c r="A17" s="257"/>
      <c r="B17" s="257"/>
      <c r="C17" s="258"/>
      <c r="D17" s="258"/>
      <c r="E17" s="272">
        <v>2</v>
      </c>
      <c r="F17" s="124"/>
      <c r="G17" s="123"/>
      <c r="H17" s="144">
        <v>710000</v>
      </c>
      <c r="I17" s="157" t="s">
        <v>1</v>
      </c>
      <c r="J17" s="205">
        <v>11508397054.450001</v>
      </c>
      <c r="K17" s="205">
        <v>2772056350.3900003</v>
      </c>
      <c r="L17" s="205">
        <v>2523896100.02</v>
      </c>
      <c r="M17" s="207">
        <f t="shared" si="0"/>
        <v>0.2408724983396465</v>
      </c>
      <c r="N17" s="207">
        <f t="shared" ref="N17:N80" si="1">IFERROR(SUM(K17/L17),"")</f>
        <v>1.0983242734786245</v>
      </c>
      <c r="O17" s="340"/>
      <c r="P17" s="155"/>
    </row>
    <row r="18" spans="1:17" ht="12.75" customHeight="1">
      <c r="A18" s="257"/>
      <c r="B18" s="257"/>
      <c r="C18" s="258"/>
      <c r="D18" s="258"/>
      <c r="E18" s="272">
        <v>3</v>
      </c>
      <c r="F18" s="124" t="s">
        <v>717</v>
      </c>
      <c r="G18" s="124">
        <v>111</v>
      </c>
      <c r="H18" s="182">
        <v>711000</v>
      </c>
      <c r="I18" s="183" t="s">
        <v>2</v>
      </c>
      <c r="J18" s="273">
        <v>648214200</v>
      </c>
      <c r="K18" s="273">
        <v>164694611.52999997</v>
      </c>
      <c r="L18" s="273">
        <v>163948017.93000001</v>
      </c>
      <c r="M18" s="207">
        <f t="shared" si="0"/>
        <v>0.25407436543352485</v>
      </c>
      <c r="N18" s="207">
        <f t="shared" si="1"/>
        <v>1.0045538434036985</v>
      </c>
    </row>
    <row r="19" spans="1:17" ht="12.75" customHeight="1">
      <c r="A19" s="220"/>
      <c r="B19" s="220" t="s">
        <v>789</v>
      </c>
      <c r="C19" s="258"/>
      <c r="D19" s="258" t="s">
        <v>262</v>
      </c>
      <c r="E19" s="272">
        <v>4</v>
      </c>
      <c r="F19" s="124" t="s">
        <v>3</v>
      </c>
      <c r="G19" s="124">
        <v>1111</v>
      </c>
      <c r="H19" s="182">
        <v>711100</v>
      </c>
      <c r="I19" s="274" t="s">
        <v>4</v>
      </c>
      <c r="J19" s="275">
        <v>472750</v>
      </c>
      <c r="K19" s="275">
        <v>96633.14</v>
      </c>
      <c r="L19" s="275">
        <v>56003.450000000004</v>
      </c>
      <c r="M19" s="207">
        <f t="shared" si="0"/>
        <v>0.20440643046007403</v>
      </c>
      <c r="N19" s="207">
        <f t="shared" si="1"/>
        <v>1.7254854834836066</v>
      </c>
    </row>
    <row r="20" spans="1:17" ht="12.75" customHeight="1">
      <c r="A20" s="220"/>
      <c r="B20" s="220" t="s">
        <v>789</v>
      </c>
      <c r="C20" s="258"/>
      <c r="D20" s="258" t="s">
        <v>261</v>
      </c>
      <c r="E20" s="272">
        <v>5</v>
      </c>
      <c r="F20" s="124" t="s">
        <v>5</v>
      </c>
      <c r="G20" s="124">
        <v>1112</v>
      </c>
      <c r="H20" s="182">
        <v>711200</v>
      </c>
      <c r="I20" s="274" t="s">
        <v>6</v>
      </c>
      <c r="J20" s="275">
        <v>551738499</v>
      </c>
      <c r="K20" s="275">
        <v>130859283.38999999</v>
      </c>
      <c r="L20" s="275">
        <v>130769483.48</v>
      </c>
      <c r="M20" s="207">
        <f t="shared" si="0"/>
        <v>0.23717627757928125</v>
      </c>
      <c r="N20" s="207">
        <f t="shared" si="1"/>
        <v>1.0006867038670664</v>
      </c>
    </row>
    <row r="21" spans="1:17" ht="50.25" customHeight="1">
      <c r="A21" s="220"/>
      <c r="B21" s="220" t="s">
        <v>789</v>
      </c>
      <c r="C21" s="258"/>
      <c r="D21" s="258" t="s">
        <v>261</v>
      </c>
      <c r="E21" s="272">
        <v>6</v>
      </c>
      <c r="F21" s="124" t="s">
        <v>5</v>
      </c>
      <c r="G21" s="124">
        <v>1112</v>
      </c>
      <c r="H21" s="182">
        <v>711900</v>
      </c>
      <c r="I21" s="274" t="s">
        <v>7</v>
      </c>
      <c r="J21" s="275">
        <v>96002951</v>
      </c>
      <c r="K21" s="275">
        <v>33738695</v>
      </c>
      <c r="L21" s="275">
        <v>33122531</v>
      </c>
      <c r="M21" s="207">
        <f t="shared" si="0"/>
        <v>0.3514339366505515</v>
      </c>
      <c r="N21" s="207">
        <f t="shared" si="1"/>
        <v>1.0186025639163867</v>
      </c>
    </row>
    <row r="22" spans="1:17" ht="12.75" customHeight="1">
      <c r="A22" s="257"/>
      <c r="B22" s="257"/>
      <c r="C22" s="258"/>
      <c r="D22" s="258"/>
      <c r="E22" s="272">
        <v>7</v>
      </c>
      <c r="F22" s="124" t="s">
        <v>718</v>
      </c>
      <c r="G22" s="124">
        <v>12</v>
      </c>
      <c r="H22" s="182">
        <v>712000</v>
      </c>
      <c r="I22" s="274" t="s">
        <v>8</v>
      </c>
      <c r="J22" s="273">
        <v>5326138963</v>
      </c>
      <c r="K22" s="273">
        <v>1306855009.21</v>
      </c>
      <c r="L22" s="273">
        <v>1182597994.9300001</v>
      </c>
      <c r="M22" s="207">
        <f t="shared" si="0"/>
        <v>0.24536629973204852</v>
      </c>
      <c r="N22" s="207">
        <f t="shared" si="1"/>
        <v>1.1050712201548718</v>
      </c>
    </row>
    <row r="23" spans="1:17" ht="12.75" customHeight="1">
      <c r="A23" s="220"/>
      <c r="B23" s="220" t="s">
        <v>790</v>
      </c>
      <c r="C23" s="258"/>
      <c r="D23" s="258" t="s">
        <v>260</v>
      </c>
      <c r="E23" s="272">
        <v>8</v>
      </c>
      <c r="F23" s="124" t="s">
        <v>718</v>
      </c>
      <c r="G23" s="124">
        <v>12</v>
      </c>
      <c r="H23" s="182">
        <v>712100</v>
      </c>
      <c r="I23" s="274" t="s">
        <v>9</v>
      </c>
      <c r="J23" s="275">
        <v>5326138963</v>
      </c>
      <c r="K23" s="275">
        <v>1306855009.21</v>
      </c>
      <c r="L23" s="275">
        <v>1182597994.9300001</v>
      </c>
      <c r="M23" s="207">
        <f t="shared" si="0"/>
        <v>0.24536629973204852</v>
      </c>
      <c r="N23" s="207">
        <f t="shared" si="1"/>
        <v>1.1050712201548718</v>
      </c>
    </row>
    <row r="24" spans="1:17" s="158" customFormat="1" ht="13.5" customHeight="1">
      <c r="A24" s="220" t="s">
        <v>790</v>
      </c>
      <c r="B24" s="220" t="s">
        <v>790</v>
      </c>
      <c r="C24" s="258" t="s">
        <v>260</v>
      </c>
      <c r="D24" s="258" t="s">
        <v>260</v>
      </c>
      <c r="E24" s="272">
        <v>9</v>
      </c>
      <c r="F24" s="124" t="s">
        <v>10</v>
      </c>
      <c r="G24" s="124">
        <v>1211</v>
      </c>
      <c r="H24" s="310">
        <v>712110</v>
      </c>
      <c r="I24" s="159" t="s">
        <v>727</v>
      </c>
      <c r="J24" s="275">
        <v>1080480235</v>
      </c>
      <c r="K24" s="275">
        <v>312823094.98000002</v>
      </c>
      <c r="L24" s="275">
        <v>285747489.99000001</v>
      </c>
      <c r="M24" s="207">
        <f t="shared" si="0"/>
        <v>0.28952227430610983</v>
      </c>
      <c r="N24" s="207">
        <f t="shared" si="1"/>
        <v>1.0947536056780325</v>
      </c>
    </row>
    <row r="25" spans="1:17" s="158" customFormat="1" ht="16.5" customHeight="1">
      <c r="A25" s="220" t="s">
        <v>790</v>
      </c>
      <c r="B25" s="220" t="s">
        <v>790</v>
      </c>
      <c r="C25" s="258" t="s">
        <v>260</v>
      </c>
      <c r="D25" s="258" t="s">
        <v>260</v>
      </c>
      <c r="E25" s="272">
        <v>10</v>
      </c>
      <c r="F25" s="124" t="s">
        <v>11</v>
      </c>
      <c r="G25" s="124">
        <v>1212</v>
      </c>
      <c r="H25" s="310">
        <v>712120</v>
      </c>
      <c r="I25" s="159" t="s">
        <v>728</v>
      </c>
      <c r="J25" s="275">
        <v>111839630</v>
      </c>
      <c r="K25" s="275">
        <v>26195566.109999999</v>
      </c>
      <c r="L25" s="275">
        <v>23429025.630000003</v>
      </c>
      <c r="M25" s="207">
        <f t="shared" si="0"/>
        <v>0.23422436313496386</v>
      </c>
      <c r="N25" s="207">
        <f t="shared" si="1"/>
        <v>1.1180817556688121</v>
      </c>
    </row>
    <row r="26" spans="1:17" s="158" customFormat="1" ht="34.5" customHeight="1">
      <c r="A26" s="220" t="s">
        <v>790</v>
      </c>
      <c r="B26" s="220" t="s">
        <v>790</v>
      </c>
      <c r="C26" s="258" t="s">
        <v>260</v>
      </c>
      <c r="D26" s="258" t="s">
        <v>260</v>
      </c>
      <c r="E26" s="272">
        <v>11</v>
      </c>
      <c r="F26" s="124" t="s">
        <v>12</v>
      </c>
      <c r="G26" s="124">
        <v>1213</v>
      </c>
      <c r="H26" s="310">
        <v>712131</v>
      </c>
      <c r="I26" s="277" t="s">
        <v>13</v>
      </c>
      <c r="J26" s="275">
        <v>0</v>
      </c>
      <c r="K26" s="275">
        <v>0</v>
      </c>
      <c r="L26" s="275">
        <v>0</v>
      </c>
      <c r="M26" s="207" t="str">
        <f t="shared" si="0"/>
        <v/>
      </c>
      <c r="N26" s="207" t="str">
        <f t="shared" si="1"/>
        <v/>
      </c>
    </row>
    <row r="27" spans="1:17" s="158" customFormat="1" ht="33" customHeight="1">
      <c r="A27" s="220" t="s">
        <v>790</v>
      </c>
      <c r="B27" s="220" t="s">
        <v>790</v>
      </c>
      <c r="C27" s="258" t="s">
        <v>260</v>
      </c>
      <c r="D27" s="258" t="s">
        <v>260</v>
      </c>
      <c r="E27" s="272">
        <v>12</v>
      </c>
      <c r="F27" s="124" t="s">
        <v>12</v>
      </c>
      <c r="G27" s="124">
        <v>1213</v>
      </c>
      <c r="H27" s="310">
        <v>712133</v>
      </c>
      <c r="I27" s="277" t="s">
        <v>14</v>
      </c>
      <c r="J27" s="275">
        <v>12457122</v>
      </c>
      <c r="K27" s="275">
        <v>5067751.3</v>
      </c>
      <c r="L27" s="275">
        <v>4554618.4499999993</v>
      </c>
      <c r="M27" s="207">
        <f t="shared" si="0"/>
        <v>0.40681557907195576</v>
      </c>
      <c r="N27" s="207">
        <f t="shared" si="1"/>
        <v>1.1126620935722948</v>
      </c>
    </row>
    <row r="28" spans="1:17" s="158" customFormat="1" ht="13.5" customHeight="1">
      <c r="A28" s="220" t="s">
        <v>790</v>
      </c>
      <c r="B28" s="220" t="s">
        <v>790</v>
      </c>
      <c r="C28" s="258" t="s">
        <v>260</v>
      </c>
      <c r="D28" s="258" t="s">
        <v>260</v>
      </c>
      <c r="E28" s="272">
        <v>13</v>
      </c>
      <c r="F28" s="124" t="s">
        <v>12</v>
      </c>
      <c r="G28" s="124">
        <v>1213</v>
      </c>
      <c r="H28" s="310">
        <v>712190</v>
      </c>
      <c r="I28" s="159" t="s">
        <v>729</v>
      </c>
      <c r="J28" s="275">
        <v>20656958</v>
      </c>
      <c r="K28" s="275">
        <v>2839188.11</v>
      </c>
      <c r="L28" s="275">
        <v>718728.33000000007</v>
      </c>
      <c r="M28" s="207">
        <f t="shared" si="0"/>
        <v>0.13744463778258154</v>
      </c>
      <c r="N28" s="207">
        <f t="shared" si="1"/>
        <v>3.9502938613815313</v>
      </c>
      <c r="P28" s="160"/>
      <c r="Q28" s="161"/>
    </row>
    <row r="29" spans="1:17" ht="15.75" customHeight="1">
      <c r="A29" s="220"/>
      <c r="B29" s="220" t="s">
        <v>791</v>
      </c>
      <c r="C29" s="258"/>
      <c r="D29" s="258">
        <v>112</v>
      </c>
      <c r="E29" s="272">
        <v>14</v>
      </c>
      <c r="F29" s="124" t="s">
        <v>15</v>
      </c>
      <c r="G29" s="124">
        <v>112</v>
      </c>
      <c r="H29" s="182">
        <v>713000</v>
      </c>
      <c r="I29" s="274" t="s">
        <v>926</v>
      </c>
      <c r="J29" s="273">
        <v>2242816</v>
      </c>
      <c r="K29" s="273">
        <v>277709.84999999998</v>
      </c>
      <c r="L29" s="273">
        <v>964458.17999999993</v>
      </c>
      <c r="M29" s="207">
        <f t="shared" si="0"/>
        <v>0.12382194972748543</v>
      </c>
      <c r="N29" s="207">
        <f t="shared" si="1"/>
        <v>0.28794390027362304</v>
      </c>
      <c r="P29" s="160"/>
      <c r="Q29" s="161"/>
    </row>
    <row r="30" spans="1:17" ht="15.75" customHeight="1">
      <c r="A30" s="220" t="s">
        <v>791</v>
      </c>
      <c r="B30" s="220" t="s">
        <v>789</v>
      </c>
      <c r="C30" s="258" t="s">
        <v>712</v>
      </c>
      <c r="D30" s="258">
        <v>112</v>
      </c>
      <c r="E30" s="272">
        <v>15</v>
      </c>
      <c r="F30" s="124" t="s">
        <v>15</v>
      </c>
      <c r="G30" s="124">
        <v>112</v>
      </c>
      <c r="H30" s="182">
        <v>713100</v>
      </c>
      <c r="I30" s="274" t="s">
        <v>16</v>
      </c>
      <c r="J30" s="275">
        <v>2242816</v>
      </c>
      <c r="K30" s="275">
        <v>277709.84999999998</v>
      </c>
      <c r="L30" s="275">
        <v>964458.17999999993</v>
      </c>
      <c r="M30" s="207">
        <f t="shared" si="0"/>
        <v>0.12382194972748543</v>
      </c>
      <c r="N30" s="207">
        <f t="shared" si="1"/>
        <v>0.28794390027362304</v>
      </c>
    </row>
    <row r="31" spans="1:17" ht="15.75" customHeight="1">
      <c r="A31" s="257"/>
      <c r="B31" s="257"/>
      <c r="C31" s="258"/>
      <c r="D31" s="258"/>
      <c r="E31" s="272">
        <v>16</v>
      </c>
      <c r="F31" s="124"/>
      <c r="G31" s="124">
        <v>113</v>
      </c>
      <c r="H31" s="182">
        <v>714000</v>
      </c>
      <c r="I31" s="274" t="s">
        <v>17</v>
      </c>
      <c r="J31" s="273">
        <v>169771791.50999999</v>
      </c>
      <c r="K31" s="273">
        <v>42348898.32</v>
      </c>
      <c r="L31" s="273">
        <v>44904878.239999995</v>
      </c>
      <c r="M31" s="207">
        <f t="shared" si="0"/>
        <v>0.24944602364937371</v>
      </c>
      <c r="N31" s="207">
        <f t="shared" si="1"/>
        <v>0.94308012803555052</v>
      </c>
    </row>
    <row r="32" spans="1:17" ht="15.75" customHeight="1">
      <c r="A32" s="220"/>
      <c r="B32" s="220" t="s">
        <v>791</v>
      </c>
      <c r="C32" s="258"/>
      <c r="D32" s="258" t="s">
        <v>654</v>
      </c>
      <c r="E32" s="272">
        <v>17</v>
      </c>
      <c r="F32" s="124"/>
      <c r="G32" s="124">
        <v>113</v>
      </c>
      <c r="H32" s="182">
        <v>714100</v>
      </c>
      <c r="I32" s="274" t="s">
        <v>18</v>
      </c>
      <c r="J32" s="275">
        <v>169771791.50999999</v>
      </c>
      <c r="K32" s="275">
        <v>42348898.32</v>
      </c>
      <c r="L32" s="275">
        <v>44904878.239999995</v>
      </c>
      <c r="M32" s="207">
        <f t="shared" si="0"/>
        <v>0.24944602364937371</v>
      </c>
      <c r="N32" s="207">
        <f t="shared" si="1"/>
        <v>0.94308012803555052</v>
      </c>
    </row>
    <row r="33" spans="1:15" ht="15.75" customHeight="1">
      <c r="A33" s="220" t="s">
        <v>791</v>
      </c>
      <c r="B33" s="220" t="s">
        <v>789</v>
      </c>
      <c r="C33" s="258" t="s">
        <v>654</v>
      </c>
      <c r="D33" s="258">
        <v>1131</v>
      </c>
      <c r="E33" s="272">
        <v>18</v>
      </c>
      <c r="F33" s="124" t="s">
        <v>19</v>
      </c>
      <c r="G33" s="124">
        <v>1131</v>
      </c>
      <c r="H33" s="354">
        <v>714110</v>
      </c>
      <c r="I33" s="278" t="s">
        <v>20</v>
      </c>
      <c r="J33" s="275">
        <v>29017239</v>
      </c>
      <c r="K33" s="275">
        <v>12800939.84</v>
      </c>
      <c r="L33" s="275">
        <v>17133559.759999998</v>
      </c>
      <c r="M33" s="207">
        <f t="shared" si="0"/>
        <v>0.44114947807405108</v>
      </c>
      <c r="N33" s="207">
        <f t="shared" si="1"/>
        <v>0.7471266928361886</v>
      </c>
    </row>
    <row r="34" spans="1:15" ht="15.75" customHeight="1">
      <c r="A34" s="220" t="s">
        <v>791</v>
      </c>
      <c r="B34" s="220" t="s">
        <v>792</v>
      </c>
      <c r="C34" s="258" t="s">
        <v>654</v>
      </c>
      <c r="D34" s="258">
        <v>1133</v>
      </c>
      <c r="E34" s="272">
        <v>19</v>
      </c>
      <c r="F34" s="124" t="s">
        <v>21</v>
      </c>
      <c r="G34" s="124">
        <v>1133</v>
      </c>
      <c r="H34" s="355">
        <v>714120</v>
      </c>
      <c r="I34" s="278" t="s">
        <v>22</v>
      </c>
      <c r="J34" s="275">
        <v>3739376</v>
      </c>
      <c r="K34" s="275">
        <v>5445442.6699999999</v>
      </c>
      <c r="L34" s="275">
        <v>1162509.5</v>
      </c>
      <c r="M34" s="207">
        <f t="shared" si="0"/>
        <v>1.4562436807638492</v>
      </c>
      <c r="N34" s="207">
        <f t="shared" si="1"/>
        <v>4.6842134795457584</v>
      </c>
    </row>
    <row r="35" spans="1:15" ht="15.75" customHeight="1">
      <c r="A35" s="220" t="s">
        <v>791</v>
      </c>
      <c r="B35" s="220" t="s">
        <v>791</v>
      </c>
      <c r="C35" s="258" t="s">
        <v>654</v>
      </c>
      <c r="D35" s="258" t="s">
        <v>292</v>
      </c>
      <c r="E35" s="272">
        <v>20</v>
      </c>
      <c r="F35" s="124" t="s">
        <v>23</v>
      </c>
      <c r="G35" s="124">
        <v>11414</v>
      </c>
      <c r="H35" s="355">
        <v>714130</v>
      </c>
      <c r="I35" s="278" t="s">
        <v>24</v>
      </c>
      <c r="J35" s="275">
        <v>82280542.50999999</v>
      </c>
      <c r="K35" s="275">
        <v>19511686.400000002</v>
      </c>
      <c r="L35" s="275">
        <v>23298131.27</v>
      </c>
      <c r="M35" s="207">
        <f t="shared" si="0"/>
        <v>0.23713609323405524</v>
      </c>
      <c r="N35" s="207">
        <f t="shared" si="1"/>
        <v>0.83747860177628752</v>
      </c>
    </row>
    <row r="36" spans="1:15" ht="15.75" customHeight="1">
      <c r="A36" s="220" t="s">
        <v>791</v>
      </c>
      <c r="B36" s="220" t="s">
        <v>791</v>
      </c>
      <c r="C36" s="258" t="s">
        <v>654</v>
      </c>
      <c r="D36" s="258">
        <v>1131</v>
      </c>
      <c r="E36" s="272">
        <v>21</v>
      </c>
      <c r="F36" s="124" t="s">
        <v>25</v>
      </c>
      <c r="G36" s="124">
        <v>1131</v>
      </c>
      <c r="H36" s="355">
        <v>714190</v>
      </c>
      <c r="I36" s="278" t="s">
        <v>26</v>
      </c>
      <c r="J36" s="275">
        <v>1050834</v>
      </c>
      <c r="K36" s="275">
        <v>0</v>
      </c>
      <c r="L36" s="275">
        <v>322711</v>
      </c>
      <c r="M36" s="207">
        <f t="shared" si="0"/>
        <v>0</v>
      </c>
      <c r="N36" s="207">
        <f t="shared" si="1"/>
        <v>0</v>
      </c>
    </row>
    <row r="37" spans="1:15" ht="15.75" customHeight="1">
      <c r="A37" s="220"/>
      <c r="B37" s="220" t="s">
        <v>791</v>
      </c>
      <c r="C37" s="258"/>
      <c r="D37" s="258" t="s">
        <v>292</v>
      </c>
      <c r="E37" s="272">
        <v>22</v>
      </c>
      <c r="F37" s="124" t="s">
        <v>27</v>
      </c>
      <c r="G37" s="124">
        <v>1142</v>
      </c>
      <c r="H37" s="182">
        <v>715000</v>
      </c>
      <c r="I37" s="274" t="s">
        <v>28</v>
      </c>
      <c r="J37" s="275">
        <v>603842</v>
      </c>
      <c r="K37" s="275">
        <v>117704.51999999999</v>
      </c>
      <c r="L37" s="275">
        <v>244879.25</v>
      </c>
      <c r="M37" s="207">
        <f t="shared" si="0"/>
        <v>0.19492602369494005</v>
      </c>
      <c r="N37" s="207">
        <f t="shared" si="1"/>
        <v>0.48066351068945201</v>
      </c>
    </row>
    <row r="38" spans="1:15" ht="15.75" customHeight="1">
      <c r="A38" s="220"/>
      <c r="B38" s="220" t="s">
        <v>789</v>
      </c>
      <c r="C38" s="258"/>
      <c r="D38" s="258">
        <v>1111</v>
      </c>
      <c r="E38" s="272">
        <v>23</v>
      </c>
      <c r="F38" s="124" t="s">
        <v>3</v>
      </c>
      <c r="G38" s="124">
        <v>1111</v>
      </c>
      <c r="H38" s="182">
        <v>716100</v>
      </c>
      <c r="I38" s="274" t="s">
        <v>29</v>
      </c>
      <c r="J38" s="275">
        <v>758625896.5</v>
      </c>
      <c r="K38" s="275">
        <v>182478483.98000002</v>
      </c>
      <c r="L38" s="275">
        <v>160078510.15000004</v>
      </c>
      <c r="M38" s="207">
        <f t="shared" si="0"/>
        <v>0.24053816884169604</v>
      </c>
      <c r="N38" s="207">
        <f t="shared" si="1"/>
        <v>1.1399311738284565</v>
      </c>
    </row>
    <row r="39" spans="1:15" ht="15.75" customHeight="1">
      <c r="A39" s="220"/>
      <c r="B39" s="220" t="s">
        <v>791</v>
      </c>
      <c r="C39" s="258"/>
      <c r="D39" s="258" t="s">
        <v>292</v>
      </c>
      <c r="E39" s="272">
        <v>24</v>
      </c>
      <c r="F39" s="124" t="s">
        <v>30</v>
      </c>
      <c r="G39" s="124">
        <v>11411</v>
      </c>
      <c r="H39" s="182">
        <v>717000</v>
      </c>
      <c r="I39" s="274" t="s">
        <v>31</v>
      </c>
      <c r="J39" s="275">
        <v>4602328790.4400005</v>
      </c>
      <c r="K39" s="275">
        <v>1075136465.22</v>
      </c>
      <c r="L39" s="275">
        <v>970994196.37</v>
      </c>
      <c r="M39" s="207">
        <f t="shared" si="0"/>
        <v>0.23360705290184466</v>
      </c>
      <c r="N39" s="207">
        <f t="shared" si="1"/>
        <v>1.1072532351267692</v>
      </c>
    </row>
    <row r="40" spans="1:15" ht="15.75" customHeight="1">
      <c r="A40" s="220"/>
      <c r="B40" s="220" t="s">
        <v>789</v>
      </c>
      <c r="C40" s="258"/>
      <c r="D40" s="258">
        <v>116</v>
      </c>
      <c r="E40" s="272">
        <v>25</v>
      </c>
      <c r="F40" s="124" t="s">
        <v>32</v>
      </c>
      <c r="G40" s="124">
        <v>116</v>
      </c>
      <c r="H40" s="182">
        <v>719000</v>
      </c>
      <c r="I40" s="274" t="s">
        <v>33</v>
      </c>
      <c r="J40" s="275">
        <v>470755</v>
      </c>
      <c r="K40" s="275">
        <v>147467.76</v>
      </c>
      <c r="L40" s="275">
        <v>163164.97000000003</v>
      </c>
      <c r="M40" s="207">
        <f t="shared" si="0"/>
        <v>0.31325797920361975</v>
      </c>
      <c r="N40" s="207">
        <f t="shared" si="1"/>
        <v>0.90379546541147882</v>
      </c>
    </row>
    <row r="41" spans="1:15" ht="18" customHeight="1">
      <c r="A41" s="257"/>
      <c r="B41" s="257"/>
      <c r="C41" s="258"/>
      <c r="D41" s="258"/>
      <c r="E41" s="272">
        <v>26</v>
      </c>
      <c r="F41" s="124"/>
      <c r="G41" s="123"/>
      <c r="H41" s="144">
        <v>720000</v>
      </c>
      <c r="I41" s="157" t="s">
        <v>35</v>
      </c>
      <c r="J41" s="205">
        <v>1646575324.77</v>
      </c>
      <c r="K41" s="205">
        <v>373796266.74000007</v>
      </c>
      <c r="L41" s="205">
        <v>305678871.25</v>
      </c>
      <c r="M41" s="207">
        <f t="shared" si="0"/>
        <v>0.22701437408714562</v>
      </c>
      <c r="N41" s="207">
        <f t="shared" si="1"/>
        <v>1.2228397246150851</v>
      </c>
      <c r="O41" s="155"/>
    </row>
    <row r="42" spans="1:15" ht="27" customHeight="1">
      <c r="A42" s="257"/>
      <c r="B42" s="257"/>
      <c r="C42" s="258"/>
      <c r="D42" s="258" t="s">
        <v>36</v>
      </c>
      <c r="E42" s="272">
        <v>27</v>
      </c>
      <c r="F42" s="124"/>
      <c r="G42" s="123"/>
      <c r="H42" s="279">
        <v>721000</v>
      </c>
      <c r="I42" s="183" t="s">
        <v>37</v>
      </c>
      <c r="J42" s="275">
        <v>587864828</v>
      </c>
      <c r="K42" s="275">
        <v>80436537.549999982</v>
      </c>
      <c r="L42" s="275">
        <v>56343027.180000007</v>
      </c>
      <c r="M42" s="207">
        <f t="shared" si="0"/>
        <v>0.13682828725041529</v>
      </c>
      <c r="N42" s="207">
        <f t="shared" si="1"/>
        <v>1.4276218651338708</v>
      </c>
      <c r="O42" s="155"/>
    </row>
    <row r="43" spans="1:15" ht="13.5" customHeight="1">
      <c r="A43" s="220"/>
      <c r="B43" s="220" t="s">
        <v>793</v>
      </c>
      <c r="C43" s="258"/>
      <c r="D43" s="258" t="s">
        <v>257</v>
      </c>
      <c r="E43" s="272">
        <v>28</v>
      </c>
      <c r="F43" s="124"/>
      <c r="G43" s="123"/>
      <c r="H43" s="182">
        <v>721100</v>
      </c>
      <c r="I43" s="183" t="s">
        <v>38</v>
      </c>
      <c r="J43" s="275">
        <v>510382819</v>
      </c>
      <c r="K43" s="275">
        <v>70491286.789999992</v>
      </c>
      <c r="L43" s="275">
        <v>50393376.200000003</v>
      </c>
      <c r="M43" s="207">
        <f t="shared" si="0"/>
        <v>0.13811453710004293</v>
      </c>
      <c r="N43" s="207">
        <f t="shared" si="1"/>
        <v>1.3988204820855006</v>
      </c>
    </row>
    <row r="44" spans="1:15" ht="13.5" customHeight="1">
      <c r="A44" s="257"/>
      <c r="B44" s="257"/>
      <c r="C44" s="258"/>
      <c r="D44" s="258"/>
      <c r="E44" s="272">
        <v>29</v>
      </c>
      <c r="F44" s="124"/>
      <c r="G44" s="123"/>
      <c r="H44" s="310">
        <v>721110</v>
      </c>
      <c r="I44" s="280" t="s">
        <v>730</v>
      </c>
      <c r="J44" s="275">
        <v>129607589</v>
      </c>
      <c r="K44" s="275">
        <v>8623893.5199999996</v>
      </c>
      <c r="L44" s="275">
        <v>5432284.79</v>
      </c>
      <c r="M44" s="207">
        <f t="shared" si="0"/>
        <v>6.6538491970558916E-2</v>
      </c>
      <c r="N44" s="207">
        <f t="shared" si="1"/>
        <v>1.5875260324854947</v>
      </c>
    </row>
    <row r="45" spans="1:15" ht="15">
      <c r="A45" s="220" t="s">
        <v>793</v>
      </c>
      <c r="B45" s="220" t="s">
        <v>793</v>
      </c>
      <c r="C45" s="258" t="s">
        <v>257</v>
      </c>
      <c r="D45" s="258">
        <v>1412</v>
      </c>
      <c r="E45" s="272">
        <v>30</v>
      </c>
      <c r="F45" s="124" t="s">
        <v>39</v>
      </c>
      <c r="G45" s="162">
        <v>1412</v>
      </c>
      <c r="H45" s="310">
        <v>721111</v>
      </c>
      <c r="I45" s="281" t="s">
        <v>731</v>
      </c>
      <c r="J45" s="275">
        <v>72581600</v>
      </c>
      <c r="K45" s="275">
        <v>171171</v>
      </c>
      <c r="L45" s="275">
        <v>56611</v>
      </c>
      <c r="M45" s="207">
        <f t="shared" si="0"/>
        <v>2.3583249749247743E-3</v>
      </c>
      <c r="N45" s="207">
        <f t="shared" si="1"/>
        <v>3.0236349826005546</v>
      </c>
    </row>
    <row r="46" spans="1:15" ht="15" customHeight="1">
      <c r="A46" s="220" t="s">
        <v>793</v>
      </c>
      <c r="B46" s="220" t="s">
        <v>793</v>
      </c>
      <c r="C46" s="258" t="s">
        <v>257</v>
      </c>
      <c r="D46" s="258" t="s">
        <v>622</v>
      </c>
      <c r="E46" s="272">
        <v>31</v>
      </c>
      <c r="F46" s="124" t="s">
        <v>42</v>
      </c>
      <c r="G46" s="162">
        <v>1421</v>
      </c>
      <c r="H46" s="310">
        <v>721120</v>
      </c>
      <c r="I46" s="280" t="s">
        <v>732</v>
      </c>
      <c r="J46" s="275">
        <v>25161198</v>
      </c>
      <c r="K46" s="275">
        <v>5018115.75</v>
      </c>
      <c r="L46" s="275">
        <v>7571522.9900000012</v>
      </c>
      <c r="M46" s="207">
        <f t="shared" si="0"/>
        <v>0.19943866544033395</v>
      </c>
      <c r="N46" s="207">
        <f t="shared" si="1"/>
        <v>0.66276173982798658</v>
      </c>
    </row>
    <row r="47" spans="1:15" ht="26.25" customHeight="1">
      <c r="A47" s="220" t="s">
        <v>793</v>
      </c>
      <c r="B47" s="220" t="s">
        <v>793</v>
      </c>
      <c r="C47" s="258" t="s">
        <v>257</v>
      </c>
      <c r="D47" s="258" t="s">
        <v>621</v>
      </c>
      <c r="E47" s="272">
        <v>32</v>
      </c>
      <c r="F47" s="124" t="s">
        <v>43</v>
      </c>
      <c r="G47" s="162">
        <v>14412</v>
      </c>
      <c r="H47" s="310">
        <v>721191</v>
      </c>
      <c r="I47" s="280" t="s">
        <v>733</v>
      </c>
      <c r="J47" s="275">
        <v>350100</v>
      </c>
      <c r="K47" s="275">
        <v>32626</v>
      </c>
      <c r="L47" s="275">
        <v>33528</v>
      </c>
      <c r="M47" s="207">
        <f t="shared" si="0"/>
        <v>9.3190516995144246E-2</v>
      </c>
      <c r="N47" s="207">
        <f t="shared" si="1"/>
        <v>0.9730971128608924</v>
      </c>
    </row>
    <row r="48" spans="1:15" ht="24">
      <c r="A48" s="220" t="s">
        <v>793</v>
      </c>
      <c r="B48" s="220" t="s">
        <v>794</v>
      </c>
      <c r="C48" s="258" t="s">
        <v>257</v>
      </c>
      <c r="D48" s="258" t="s">
        <v>525</v>
      </c>
      <c r="E48" s="272">
        <v>33</v>
      </c>
      <c r="F48" s="124" t="s">
        <v>45</v>
      </c>
      <c r="G48" s="162" t="s">
        <v>44</v>
      </c>
      <c r="H48" s="310">
        <v>721192</v>
      </c>
      <c r="I48" s="282" t="s">
        <v>734</v>
      </c>
      <c r="J48" s="275">
        <v>348325253</v>
      </c>
      <c r="K48" s="275">
        <v>57777983.329999998</v>
      </c>
      <c r="L48" s="275">
        <v>37232193.420000002</v>
      </c>
      <c r="M48" s="207">
        <f t="shared" si="0"/>
        <v>0.16587365639550686</v>
      </c>
      <c r="N48" s="207">
        <f t="shared" si="1"/>
        <v>1.5518286198782858</v>
      </c>
    </row>
    <row r="49" spans="1:18" ht="14.25" customHeight="1">
      <c r="A49" s="220"/>
      <c r="B49" s="220" t="s">
        <v>791</v>
      </c>
      <c r="C49" s="258"/>
      <c r="D49" s="258" t="s">
        <v>292</v>
      </c>
      <c r="E49" s="272">
        <v>34</v>
      </c>
      <c r="F49" s="124"/>
      <c r="G49" s="163"/>
      <c r="H49" s="206">
        <v>721200</v>
      </c>
      <c r="I49" s="283" t="s">
        <v>46</v>
      </c>
      <c r="J49" s="275">
        <v>55860809</v>
      </c>
      <c r="K49" s="275">
        <v>4646767.53</v>
      </c>
      <c r="L49" s="275">
        <v>4699764.74</v>
      </c>
      <c r="M49" s="207">
        <f t="shared" si="0"/>
        <v>8.3184751763978215E-2</v>
      </c>
      <c r="N49" s="207">
        <f t="shared" si="1"/>
        <v>0.98872343342020141</v>
      </c>
    </row>
    <row r="50" spans="1:18" ht="15" customHeight="1">
      <c r="A50" s="220" t="s">
        <v>791</v>
      </c>
      <c r="B50" s="220" t="s">
        <v>793</v>
      </c>
      <c r="C50" s="258" t="s">
        <v>292</v>
      </c>
      <c r="D50" s="258" t="s">
        <v>620</v>
      </c>
      <c r="E50" s="272">
        <v>35</v>
      </c>
      <c r="F50" s="124" t="s">
        <v>40</v>
      </c>
      <c r="G50" s="163">
        <v>1415</v>
      </c>
      <c r="H50" s="293">
        <v>721214</v>
      </c>
      <c r="I50" s="284" t="s">
        <v>673</v>
      </c>
      <c r="J50" s="275">
        <v>34000100</v>
      </c>
      <c r="K50" s="275">
        <v>875</v>
      </c>
      <c r="L50" s="275">
        <v>861</v>
      </c>
      <c r="M50" s="207">
        <f t="shared" si="0"/>
        <v>2.5735218425828158E-5</v>
      </c>
      <c r="N50" s="207">
        <f t="shared" si="1"/>
        <v>1.0162601626016261</v>
      </c>
    </row>
    <row r="51" spans="1:18" ht="25.5" customHeight="1">
      <c r="A51" s="220"/>
      <c r="B51" s="220" t="s">
        <v>795</v>
      </c>
      <c r="C51" s="258"/>
      <c r="D51" s="258" t="s">
        <v>356</v>
      </c>
      <c r="E51" s="272">
        <v>36</v>
      </c>
      <c r="F51" s="124" t="s">
        <v>47</v>
      </c>
      <c r="G51" s="163">
        <v>1411</v>
      </c>
      <c r="H51" s="206">
        <v>721300</v>
      </c>
      <c r="I51" s="283" t="s">
        <v>48</v>
      </c>
      <c r="J51" s="275">
        <v>1435948</v>
      </c>
      <c r="K51" s="275">
        <v>706544</v>
      </c>
      <c r="L51" s="275">
        <v>256038.71</v>
      </c>
      <c r="M51" s="207">
        <f t="shared" si="0"/>
        <v>0.49204010173070334</v>
      </c>
      <c r="N51" s="207">
        <f t="shared" si="1"/>
        <v>2.7595202303589175</v>
      </c>
    </row>
    <row r="52" spans="1:18" ht="14.25" customHeight="1">
      <c r="A52" s="220"/>
      <c r="B52" s="220" t="s">
        <v>793</v>
      </c>
      <c r="C52" s="258"/>
      <c r="D52" s="258" t="s">
        <v>356</v>
      </c>
      <c r="E52" s="272">
        <v>37</v>
      </c>
      <c r="F52" s="124" t="s">
        <v>47</v>
      </c>
      <c r="G52" s="163">
        <v>1411</v>
      </c>
      <c r="H52" s="206">
        <v>721400</v>
      </c>
      <c r="I52" s="283" t="s">
        <v>49</v>
      </c>
      <c r="J52" s="275">
        <v>9000</v>
      </c>
      <c r="K52" s="275">
        <v>33386</v>
      </c>
      <c r="L52" s="275">
        <v>12648</v>
      </c>
      <c r="M52" s="207">
        <f t="shared" si="0"/>
        <v>3.7095555555555557</v>
      </c>
      <c r="N52" s="207">
        <f t="shared" si="1"/>
        <v>2.6396268184693232</v>
      </c>
    </row>
    <row r="53" spans="1:18" ht="15.75" customHeight="1">
      <c r="A53" s="220"/>
      <c r="B53" s="220"/>
      <c r="C53" s="258"/>
      <c r="D53" s="258">
        <v>4222</v>
      </c>
      <c r="E53" s="272">
        <v>38</v>
      </c>
      <c r="F53" s="124" t="s">
        <v>50</v>
      </c>
      <c r="G53" s="163">
        <v>4222</v>
      </c>
      <c r="H53" s="206">
        <v>721500</v>
      </c>
      <c r="I53" s="283" t="s">
        <v>51</v>
      </c>
      <c r="J53" s="275">
        <v>52950</v>
      </c>
      <c r="K53" s="275">
        <v>6.02</v>
      </c>
      <c r="L53" s="275">
        <v>10101.85</v>
      </c>
      <c r="M53" s="207">
        <f t="shared" si="0"/>
        <v>1.1369216241737487E-4</v>
      </c>
      <c r="N53" s="207">
        <f t="shared" si="1"/>
        <v>5.9593044838321689E-4</v>
      </c>
    </row>
    <row r="54" spans="1:18" ht="15.75" customHeight="1">
      <c r="A54" s="220" t="s">
        <v>796</v>
      </c>
      <c r="B54" s="220"/>
      <c r="C54" s="258"/>
      <c r="D54" s="258" t="s">
        <v>490</v>
      </c>
      <c r="E54" s="272">
        <v>39</v>
      </c>
      <c r="F54" s="124"/>
      <c r="G54" s="163"/>
      <c r="H54" s="206">
        <v>721600</v>
      </c>
      <c r="I54" s="283" t="s">
        <v>52</v>
      </c>
      <c r="J54" s="275">
        <v>4088464</v>
      </c>
      <c r="K54" s="275">
        <v>4558547.21</v>
      </c>
      <c r="L54" s="275">
        <v>971097.67999999993</v>
      </c>
      <c r="M54" s="207">
        <f t="shared" si="0"/>
        <v>1.1149779501543855</v>
      </c>
      <c r="N54" s="207">
        <f t="shared" si="1"/>
        <v>4.6942210900967245</v>
      </c>
    </row>
    <row r="55" spans="1:18" ht="15.75" customHeight="1">
      <c r="A55" s="220" t="s">
        <v>796</v>
      </c>
      <c r="B55" s="220" t="s">
        <v>796</v>
      </c>
      <c r="C55" s="258" t="s">
        <v>490</v>
      </c>
      <c r="D55" s="258" t="s">
        <v>490</v>
      </c>
      <c r="E55" s="272">
        <v>40</v>
      </c>
      <c r="F55" s="124" t="s">
        <v>54</v>
      </c>
      <c r="G55" s="163" t="s">
        <v>53</v>
      </c>
      <c r="H55" s="293">
        <v>721611</v>
      </c>
      <c r="I55" s="282" t="s">
        <v>674</v>
      </c>
      <c r="J55" s="275">
        <v>68656</v>
      </c>
      <c r="K55" s="275">
        <v>62416.32</v>
      </c>
      <c r="L55" s="275">
        <v>50291.45</v>
      </c>
      <c r="M55" s="207">
        <f t="shared" si="0"/>
        <v>0.90911675600093222</v>
      </c>
      <c r="N55" s="207">
        <f t="shared" si="1"/>
        <v>1.2410920742989118</v>
      </c>
    </row>
    <row r="56" spans="1:18" ht="15.75" customHeight="1">
      <c r="A56" s="220" t="s">
        <v>794</v>
      </c>
      <c r="B56" s="220" t="s">
        <v>796</v>
      </c>
      <c r="C56" s="258" t="s">
        <v>490</v>
      </c>
      <c r="D56" s="258" t="s">
        <v>629</v>
      </c>
      <c r="E56" s="272">
        <v>41</v>
      </c>
      <c r="F56" s="124" t="s">
        <v>56</v>
      </c>
      <c r="G56" s="163" t="s">
        <v>55</v>
      </c>
      <c r="H56" s="293">
        <v>721612</v>
      </c>
      <c r="I56" s="282" t="s">
        <v>675</v>
      </c>
      <c r="J56" s="275">
        <v>213</v>
      </c>
      <c r="K56" s="275">
        <v>1000</v>
      </c>
      <c r="L56" s="275">
        <v>0</v>
      </c>
      <c r="M56" s="207">
        <f t="shared" si="0"/>
        <v>4.694835680751174</v>
      </c>
      <c r="N56" s="207" t="str">
        <f t="shared" si="1"/>
        <v/>
      </c>
      <c r="P56" s="164"/>
      <c r="Q56" s="165"/>
      <c r="R56" s="166"/>
    </row>
    <row r="57" spans="1:18" ht="15.75" customHeight="1">
      <c r="A57" s="220" t="s">
        <v>794</v>
      </c>
      <c r="B57" s="220" t="s">
        <v>796</v>
      </c>
      <c r="C57" s="258" t="s">
        <v>490</v>
      </c>
      <c r="D57" s="258" t="s">
        <v>629</v>
      </c>
      <c r="E57" s="272">
        <v>42</v>
      </c>
      <c r="F57" s="124" t="s">
        <v>56</v>
      </c>
      <c r="G57" s="163" t="s">
        <v>55</v>
      </c>
      <c r="H57" s="293">
        <v>721613</v>
      </c>
      <c r="I57" s="282" t="s">
        <v>676</v>
      </c>
      <c r="J57" s="275">
        <v>258000</v>
      </c>
      <c r="K57" s="275">
        <v>4470853.26</v>
      </c>
      <c r="L57" s="275">
        <v>910648.23</v>
      </c>
      <c r="M57" s="207">
        <f t="shared" si="0"/>
        <v>17.328888604651162</v>
      </c>
      <c r="N57" s="207"/>
      <c r="P57" s="164"/>
      <c r="Q57" s="165"/>
      <c r="R57" s="166"/>
    </row>
    <row r="58" spans="1:18" ht="15.75" customHeight="1">
      <c r="A58" s="220" t="s">
        <v>796</v>
      </c>
      <c r="B58" s="220" t="s">
        <v>796</v>
      </c>
      <c r="C58" s="258" t="s">
        <v>490</v>
      </c>
      <c r="D58" s="258" t="s">
        <v>490</v>
      </c>
      <c r="E58" s="272">
        <v>43</v>
      </c>
      <c r="F58" s="124" t="s">
        <v>54</v>
      </c>
      <c r="G58" s="163" t="s">
        <v>735</v>
      </c>
      <c r="H58" s="293">
        <v>721614</v>
      </c>
      <c r="I58" s="282" t="s">
        <v>677</v>
      </c>
      <c r="J58" s="275">
        <v>3513110</v>
      </c>
      <c r="K58" s="275">
        <v>4155</v>
      </c>
      <c r="L58" s="275">
        <v>2689</v>
      </c>
      <c r="M58" s="207">
        <f t="shared" si="0"/>
        <v>1.18271275308772E-3</v>
      </c>
      <c r="N58" s="207">
        <f t="shared" si="1"/>
        <v>1.5451840833023429</v>
      </c>
      <c r="P58" s="164"/>
      <c r="Q58" s="165"/>
      <c r="R58" s="166"/>
    </row>
    <row r="59" spans="1:18" ht="15.75" customHeight="1">
      <c r="A59" s="220" t="s">
        <v>796</v>
      </c>
      <c r="B59" s="220" t="s">
        <v>796</v>
      </c>
      <c r="C59" s="258" t="s">
        <v>490</v>
      </c>
      <c r="D59" s="258" t="s">
        <v>490</v>
      </c>
      <c r="E59" s="272">
        <v>44</v>
      </c>
      <c r="F59" s="124" t="s">
        <v>54</v>
      </c>
      <c r="G59" s="163" t="s">
        <v>735</v>
      </c>
      <c r="H59" s="293">
        <v>721615</v>
      </c>
      <c r="I59" s="282" t="s">
        <v>678</v>
      </c>
      <c r="J59" s="275">
        <v>500</v>
      </c>
      <c r="K59" s="275">
        <v>98</v>
      </c>
      <c r="L59" s="275">
        <v>0</v>
      </c>
      <c r="M59" s="207">
        <f t="shared" si="0"/>
        <v>0.19600000000000001</v>
      </c>
      <c r="N59" s="207"/>
      <c r="P59" s="164"/>
      <c r="Q59" s="165"/>
      <c r="R59" s="166"/>
    </row>
    <row r="60" spans="1:18" ht="24">
      <c r="A60" s="220"/>
      <c r="B60" s="220" t="s">
        <v>793</v>
      </c>
      <c r="C60" s="258"/>
      <c r="D60" s="258" t="s">
        <v>622</v>
      </c>
      <c r="E60" s="272">
        <v>45</v>
      </c>
      <c r="F60" s="124" t="s">
        <v>57</v>
      </c>
      <c r="G60" s="163">
        <v>1422</v>
      </c>
      <c r="H60" s="206">
        <v>721700</v>
      </c>
      <c r="I60" s="283" t="s">
        <v>58</v>
      </c>
      <c r="J60" s="275">
        <v>16034838</v>
      </c>
      <c r="K60" s="275">
        <v>0</v>
      </c>
      <c r="L60" s="275">
        <v>0</v>
      </c>
      <c r="M60" s="207">
        <f t="shared" si="0"/>
        <v>0</v>
      </c>
      <c r="N60" s="207" t="str">
        <f t="shared" si="1"/>
        <v/>
      </c>
      <c r="P60" s="164"/>
      <c r="Q60" s="165"/>
      <c r="R60" s="166"/>
    </row>
    <row r="61" spans="1:18" ht="24.75" customHeight="1">
      <c r="A61" s="257"/>
      <c r="B61" s="257"/>
      <c r="C61" s="258"/>
      <c r="D61" s="258" t="s">
        <v>36</v>
      </c>
      <c r="E61" s="272">
        <v>46</v>
      </c>
      <c r="F61" s="124"/>
      <c r="G61" s="167"/>
      <c r="H61" s="206">
        <v>722000</v>
      </c>
      <c r="I61" s="283" t="s">
        <v>59</v>
      </c>
      <c r="J61" s="273">
        <v>987297495.76999998</v>
      </c>
      <c r="K61" s="273">
        <v>278188593.17000002</v>
      </c>
      <c r="L61" s="273">
        <v>235326475</v>
      </c>
      <c r="M61" s="207">
        <f t="shared" si="0"/>
        <v>0.28176774919604031</v>
      </c>
      <c r="N61" s="207">
        <f t="shared" si="1"/>
        <v>1.1821389547011232</v>
      </c>
      <c r="O61" s="155"/>
    </row>
    <row r="62" spans="1:18" ht="14.25" customHeight="1">
      <c r="A62" s="220"/>
      <c r="B62" s="220" t="s">
        <v>793</v>
      </c>
      <c r="C62" s="258"/>
      <c r="D62" s="258" t="s">
        <v>622</v>
      </c>
      <c r="E62" s="272">
        <v>47</v>
      </c>
      <c r="F62" s="124" t="s">
        <v>60</v>
      </c>
      <c r="G62" s="163">
        <v>1146</v>
      </c>
      <c r="H62" s="206">
        <v>722100</v>
      </c>
      <c r="I62" s="283" t="s">
        <v>61</v>
      </c>
      <c r="J62" s="275">
        <v>51531467</v>
      </c>
      <c r="K62" s="275">
        <v>11199062.34</v>
      </c>
      <c r="L62" s="275">
        <v>11044201.879999999</v>
      </c>
      <c r="M62" s="207">
        <f t="shared" si="0"/>
        <v>0.21732473364284388</v>
      </c>
      <c r="N62" s="207">
        <f t="shared" si="1"/>
        <v>1.0140218787815205</v>
      </c>
    </row>
    <row r="63" spans="1:18" ht="14.25" customHeight="1">
      <c r="A63" s="220"/>
      <c r="B63" s="220" t="s">
        <v>793</v>
      </c>
      <c r="C63" s="258"/>
      <c r="D63" s="258" t="s">
        <v>622</v>
      </c>
      <c r="E63" s="272">
        <v>48</v>
      </c>
      <c r="F63" s="124" t="s">
        <v>57</v>
      </c>
      <c r="G63" s="163">
        <v>1422</v>
      </c>
      <c r="H63" s="206">
        <v>722200</v>
      </c>
      <c r="I63" s="283" t="s">
        <v>62</v>
      </c>
      <c r="J63" s="275">
        <v>43171571</v>
      </c>
      <c r="K63" s="275">
        <v>8378637.0099999988</v>
      </c>
      <c r="L63" s="275">
        <v>8278476.1499999994</v>
      </c>
      <c r="M63" s="207">
        <f t="shared" si="0"/>
        <v>0.19407764915481068</v>
      </c>
      <c r="N63" s="207">
        <f t="shared" si="1"/>
        <v>1.0120989489110264</v>
      </c>
    </row>
    <row r="64" spans="1:18" ht="14.25" customHeight="1">
      <c r="A64" s="220"/>
      <c r="B64" s="220" t="s">
        <v>793</v>
      </c>
      <c r="C64" s="258"/>
      <c r="D64" s="258" t="s">
        <v>622</v>
      </c>
      <c r="E64" s="272">
        <v>49</v>
      </c>
      <c r="F64" s="124" t="s">
        <v>57</v>
      </c>
      <c r="G64" s="163">
        <v>1422</v>
      </c>
      <c r="H64" s="206">
        <v>722300</v>
      </c>
      <c r="I64" s="283" t="s">
        <v>63</v>
      </c>
      <c r="J64" s="275">
        <v>59812540</v>
      </c>
      <c r="K64" s="275">
        <v>27257952.539999999</v>
      </c>
      <c r="L64" s="275">
        <v>27845071.059999999</v>
      </c>
      <c r="M64" s="207">
        <f t="shared" si="0"/>
        <v>0.45572303968365163</v>
      </c>
      <c r="N64" s="207">
        <f t="shared" si="1"/>
        <v>0.97891481337092345</v>
      </c>
    </row>
    <row r="65" spans="1:17" ht="14.25" customHeight="1">
      <c r="A65" s="220"/>
      <c r="B65" s="220" t="s">
        <v>793</v>
      </c>
      <c r="C65" s="258"/>
      <c r="D65" s="258" t="s">
        <v>622</v>
      </c>
      <c r="E65" s="272">
        <v>50</v>
      </c>
      <c r="F65" s="124" t="s">
        <v>57</v>
      </c>
      <c r="G65" s="163">
        <v>1422</v>
      </c>
      <c r="H65" s="206">
        <v>722400</v>
      </c>
      <c r="I65" s="283" t="s">
        <v>64</v>
      </c>
      <c r="J65" s="275">
        <v>395094619.26999998</v>
      </c>
      <c r="K65" s="275">
        <v>112464504.89</v>
      </c>
      <c r="L65" s="275">
        <v>92704394.330000013</v>
      </c>
      <c r="M65" s="207">
        <f t="shared" si="0"/>
        <v>0.28465207928621256</v>
      </c>
      <c r="N65" s="207">
        <f t="shared" si="1"/>
        <v>1.2131518220124484</v>
      </c>
    </row>
    <row r="66" spans="1:17" ht="23.25" customHeight="1">
      <c r="A66" s="220"/>
      <c r="B66" s="220" t="s">
        <v>793</v>
      </c>
      <c r="C66" s="258"/>
      <c r="D66" s="258" t="s">
        <v>622</v>
      </c>
      <c r="E66" s="272">
        <v>51</v>
      </c>
      <c r="F66" s="124" t="s">
        <v>57</v>
      </c>
      <c r="G66" s="163">
        <v>1422</v>
      </c>
      <c r="H66" s="206">
        <v>722500</v>
      </c>
      <c r="I66" s="283" t="s">
        <v>65</v>
      </c>
      <c r="J66" s="275">
        <v>227177222.5</v>
      </c>
      <c r="K66" s="275">
        <v>67474352.400000006</v>
      </c>
      <c r="L66" s="275">
        <v>52495083.569999993</v>
      </c>
      <c r="M66" s="207">
        <f t="shared" si="0"/>
        <v>0.29701196122335727</v>
      </c>
      <c r="N66" s="207">
        <f t="shared" si="1"/>
        <v>1.2853461278907345</v>
      </c>
    </row>
    <row r="67" spans="1:17" ht="26.25" customHeight="1">
      <c r="A67" s="220"/>
      <c r="B67" s="220" t="s">
        <v>793</v>
      </c>
      <c r="C67" s="258"/>
      <c r="D67" s="258" t="s">
        <v>622</v>
      </c>
      <c r="E67" s="272">
        <v>52</v>
      </c>
      <c r="F67" s="124" t="s">
        <v>57</v>
      </c>
      <c r="G67" s="163">
        <v>1422</v>
      </c>
      <c r="H67" s="206">
        <v>722600</v>
      </c>
      <c r="I67" s="283" t="s">
        <v>66</v>
      </c>
      <c r="J67" s="275">
        <v>144265141</v>
      </c>
      <c r="K67" s="275">
        <v>33684832.670000002</v>
      </c>
      <c r="L67" s="275">
        <v>27370927.649999999</v>
      </c>
      <c r="M67" s="207">
        <f t="shared" si="0"/>
        <v>0.23349252935606948</v>
      </c>
      <c r="N67" s="207">
        <f t="shared" si="1"/>
        <v>1.2306792484616429</v>
      </c>
    </row>
    <row r="68" spans="1:17" ht="12.75" customHeight="1">
      <c r="A68" s="220"/>
      <c r="B68" s="220" t="s">
        <v>793</v>
      </c>
      <c r="C68" s="258"/>
      <c r="D68" s="258" t="s">
        <v>621</v>
      </c>
      <c r="E68" s="272">
        <v>53</v>
      </c>
      <c r="F68" s="125" t="s">
        <v>67</v>
      </c>
      <c r="G68" s="168">
        <v>1452</v>
      </c>
      <c r="H68" s="285">
        <v>722700</v>
      </c>
      <c r="I68" s="286" t="s">
        <v>68</v>
      </c>
      <c r="J68" s="275">
        <v>66244935</v>
      </c>
      <c r="K68" s="275">
        <v>17729251.32</v>
      </c>
      <c r="L68" s="275">
        <v>15588320.359999999</v>
      </c>
      <c r="M68" s="207">
        <f t="shared" si="0"/>
        <v>0.26763180188794811</v>
      </c>
      <c r="N68" s="207">
        <f t="shared" si="1"/>
        <v>1.1373419913471678</v>
      </c>
    </row>
    <row r="69" spans="1:17" ht="18" customHeight="1">
      <c r="A69" s="220" t="s">
        <v>793</v>
      </c>
      <c r="B69" s="220" t="s">
        <v>794</v>
      </c>
      <c r="C69" s="258" t="s">
        <v>621</v>
      </c>
      <c r="D69" s="258" t="s">
        <v>527</v>
      </c>
      <c r="E69" s="272">
        <v>54</v>
      </c>
      <c r="F69" s="125" t="s">
        <v>45</v>
      </c>
      <c r="G69" s="168" t="s">
        <v>44</v>
      </c>
      <c r="H69" s="356">
        <v>722731</v>
      </c>
      <c r="I69" s="282" t="s">
        <v>679</v>
      </c>
      <c r="J69" s="275">
        <v>0</v>
      </c>
      <c r="K69" s="275">
        <v>46260</v>
      </c>
      <c r="L69" s="275">
        <v>73457</v>
      </c>
      <c r="M69" s="207" t="str">
        <f t="shared" si="0"/>
        <v/>
      </c>
      <c r="N69" s="207">
        <f t="shared" si="1"/>
        <v>0.62975618388989474</v>
      </c>
    </row>
    <row r="70" spans="1:17" ht="24" customHeight="1">
      <c r="A70" s="220" t="s">
        <v>793</v>
      </c>
      <c r="B70" s="220" t="s">
        <v>793</v>
      </c>
      <c r="C70" s="258" t="s">
        <v>621</v>
      </c>
      <c r="D70" s="258" t="s">
        <v>621</v>
      </c>
      <c r="E70" s="272">
        <v>55</v>
      </c>
      <c r="F70" s="125" t="s">
        <v>69</v>
      </c>
      <c r="G70" s="168">
        <v>14412</v>
      </c>
      <c r="H70" s="356">
        <v>722751</v>
      </c>
      <c r="I70" s="282" t="s">
        <v>680</v>
      </c>
      <c r="J70" s="275">
        <v>4293258</v>
      </c>
      <c r="K70" s="275">
        <v>3140016.76</v>
      </c>
      <c r="L70" s="275">
        <v>2965623.65</v>
      </c>
      <c r="M70" s="207">
        <f t="shared" si="0"/>
        <v>0.73138319663062401</v>
      </c>
      <c r="N70" s="207">
        <f t="shared" si="1"/>
        <v>1.0588048689185494</v>
      </c>
    </row>
    <row r="71" spans="1:17" s="158" customFormat="1" ht="15.75" customHeight="1">
      <c r="A71" s="220"/>
      <c r="B71" s="220" t="s">
        <v>793</v>
      </c>
      <c r="C71" s="258"/>
      <c r="D71" s="258">
        <v>143</v>
      </c>
      <c r="E71" s="272">
        <v>56</v>
      </c>
      <c r="F71" s="125" t="s">
        <v>69</v>
      </c>
      <c r="G71" s="168">
        <v>143</v>
      </c>
      <c r="H71" s="206">
        <v>723000</v>
      </c>
      <c r="I71" s="283" t="s">
        <v>70</v>
      </c>
      <c r="J71" s="275">
        <v>71048976</v>
      </c>
      <c r="K71" s="275">
        <v>15156788.42</v>
      </c>
      <c r="L71" s="275">
        <v>13957303.09</v>
      </c>
      <c r="M71" s="312">
        <f t="shared" si="0"/>
        <v>0.21332873847471073</v>
      </c>
      <c r="N71" s="312">
        <f t="shared" si="1"/>
        <v>1.0859396204456859</v>
      </c>
      <c r="O71" s="169"/>
    </row>
    <row r="72" spans="1:17" ht="15.75" customHeight="1">
      <c r="A72" s="220"/>
      <c r="B72" s="220" t="s">
        <v>793</v>
      </c>
      <c r="C72" s="258"/>
      <c r="D72" s="258" t="s">
        <v>655</v>
      </c>
      <c r="E72" s="272">
        <v>57</v>
      </c>
      <c r="F72" s="124" t="s">
        <v>67</v>
      </c>
      <c r="G72" s="163">
        <v>1452</v>
      </c>
      <c r="H72" s="206">
        <v>777000</v>
      </c>
      <c r="I72" s="283" t="s">
        <v>71</v>
      </c>
      <c r="J72" s="275">
        <v>364025</v>
      </c>
      <c r="K72" s="275">
        <v>14347.6</v>
      </c>
      <c r="L72" s="275">
        <v>52065.98</v>
      </c>
      <c r="M72" s="207">
        <f t="shared" si="0"/>
        <v>3.9413776526337478E-2</v>
      </c>
      <c r="N72" s="207">
        <f t="shared" si="1"/>
        <v>0.27556573409354823</v>
      </c>
      <c r="O72" s="155"/>
    </row>
    <row r="73" spans="1:17" s="170" customFormat="1" ht="26.25" customHeight="1">
      <c r="A73" s="259"/>
      <c r="B73" s="259"/>
      <c r="C73" s="258"/>
      <c r="D73" s="258" t="s">
        <v>36</v>
      </c>
      <c r="E73" s="272">
        <v>58</v>
      </c>
      <c r="F73" s="124"/>
      <c r="G73" s="123">
        <v>13</v>
      </c>
      <c r="H73" s="144"/>
      <c r="I73" s="287" t="s">
        <v>736</v>
      </c>
      <c r="J73" s="288">
        <v>865932010.95000005</v>
      </c>
      <c r="K73" s="288">
        <v>69021397.189999998</v>
      </c>
      <c r="L73" s="288">
        <v>31480343.400000006</v>
      </c>
      <c r="M73" s="207">
        <f t="shared" si="0"/>
        <v>7.970764022717873E-2</v>
      </c>
      <c r="N73" s="207">
        <f t="shared" si="1"/>
        <v>2.1925236428647086</v>
      </c>
      <c r="O73" s="311"/>
      <c r="P73" s="311"/>
      <c r="Q73" s="311"/>
    </row>
    <row r="74" spans="1:17" ht="27" customHeight="1">
      <c r="A74" s="257"/>
      <c r="B74" s="257"/>
      <c r="C74" s="258"/>
      <c r="D74" s="258" t="s">
        <v>36</v>
      </c>
      <c r="E74" s="272">
        <v>59</v>
      </c>
      <c r="F74" s="124" t="s">
        <v>719</v>
      </c>
      <c r="G74" s="163"/>
      <c r="H74" s="182"/>
      <c r="I74" s="283" t="s">
        <v>737</v>
      </c>
      <c r="J74" s="276">
        <v>17710718</v>
      </c>
      <c r="K74" s="276">
        <v>2144388.2000000002</v>
      </c>
      <c r="L74" s="276">
        <v>4453430.9800000004</v>
      </c>
      <c r="M74" s="207">
        <f t="shared" si="0"/>
        <v>0.1210785581928412</v>
      </c>
      <c r="N74" s="207">
        <f t="shared" si="1"/>
        <v>0.48151373842555878</v>
      </c>
      <c r="O74" s="336"/>
      <c r="P74" s="337"/>
      <c r="Q74" s="337"/>
    </row>
    <row r="75" spans="1:17" ht="12.75" customHeight="1">
      <c r="A75" s="220"/>
      <c r="B75" s="220" t="s">
        <v>793</v>
      </c>
      <c r="C75" s="258"/>
      <c r="D75" s="258" t="s">
        <v>304</v>
      </c>
      <c r="E75" s="272">
        <v>60</v>
      </c>
      <c r="F75" s="124" t="s">
        <v>72</v>
      </c>
      <c r="G75" s="163">
        <v>1311</v>
      </c>
      <c r="H75" s="206">
        <v>731110</v>
      </c>
      <c r="I75" s="283" t="s">
        <v>73</v>
      </c>
      <c r="J75" s="315">
        <v>14196930</v>
      </c>
      <c r="K75" s="315">
        <v>821333.65999999992</v>
      </c>
      <c r="L75" s="315">
        <v>890173.24</v>
      </c>
      <c r="M75" s="207">
        <f t="shared" si="0"/>
        <v>5.7852906226909612E-2</v>
      </c>
      <c r="N75" s="207">
        <f t="shared" si="1"/>
        <v>0.92266721026122955</v>
      </c>
    </row>
    <row r="76" spans="1:17" ht="12.75" customHeight="1">
      <c r="A76" s="220"/>
      <c r="B76" s="220" t="s">
        <v>793</v>
      </c>
      <c r="C76" s="258"/>
      <c r="D76" s="258" t="s">
        <v>304</v>
      </c>
      <c r="E76" s="272">
        <v>61</v>
      </c>
      <c r="F76" s="124" t="s">
        <v>74</v>
      </c>
      <c r="G76" s="163">
        <v>1321</v>
      </c>
      <c r="H76" s="206">
        <v>731120</v>
      </c>
      <c r="I76" s="289" t="s">
        <v>75</v>
      </c>
      <c r="J76" s="315">
        <v>3513788</v>
      </c>
      <c r="K76" s="315">
        <v>1323054.54</v>
      </c>
      <c r="L76" s="315">
        <v>3563257.74</v>
      </c>
      <c r="M76" s="207">
        <f t="shared" si="0"/>
        <v>0.37653226091044767</v>
      </c>
      <c r="N76" s="207">
        <f t="shared" si="1"/>
        <v>0.37130475439590288</v>
      </c>
    </row>
    <row r="77" spans="1:17" ht="27.6" customHeight="1">
      <c r="A77" s="220"/>
      <c r="B77" s="220" t="s">
        <v>793</v>
      </c>
      <c r="C77" s="258"/>
      <c r="D77" s="258" t="s">
        <v>615</v>
      </c>
      <c r="E77" s="272">
        <v>62</v>
      </c>
      <c r="F77" s="124" t="s">
        <v>77</v>
      </c>
      <c r="G77" s="163">
        <v>133</v>
      </c>
      <c r="H77" s="206">
        <v>732100</v>
      </c>
      <c r="I77" s="334" t="s">
        <v>963</v>
      </c>
      <c r="J77" s="315">
        <v>597662956</v>
      </c>
      <c r="K77" s="315">
        <v>20552003.009999998</v>
      </c>
      <c r="L77" s="315">
        <v>9979456.6800000072</v>
      </c>
      <c r="M77" s="207">
        <f t="shared" si="0"/>
        <v>3.4387279324703535E-2</v>
      </c>
      <c r="N77" s="207">
        <f t="shared" si="1"/>
        <v>2.0594310561203804</v>
      </c>
    </row>
    <row r="78" spans="1:17" ht="15.75" customHeight="1">
      <c r="A78" s="257"/>
      <c r="B78" s="257"/>
      <c r="C78" s="258"/>
      <c r="D78" s="258"/>
      <c r="E78" s="272">
        <v>63</v>
      </c>
      <c r="F78" s="124" t="s">
        <v>77</v>
      </c>
      <c r="G78" s="163">
        <v>1331</v>
      </c>
      <c r="H78" s="206">
        <v>732110</v>
      </c>
      <c r="I78" s="289" t="s">
        <v>76</v>
      </c>
      <c r="J78" s="315">
        <v>442236618</v>
      </c>
      <c r="K78" s="315">
        <v>1343741.98</v>
      </c>
      <c r="L78" s="315">
        <v>1709060.43</v>
      </c>
      <c r="M78" s="207">
        <f t="shared" si="0"/>
        <v>3.0385136040453346E-3</v>
      </c>
      <c r="N78" s="207">
        <f t="shared" si="1"/>
        <v>0.7862460311014281</v>
      </c>
      <c r="O78" s="155"/>
      <c r="P78" s="155"/>
    </row>
    <row r="79" spans="1:17" ht="15">
      <c r="A79" s="220" t="s">
        <v>793</v>
      </c>
      <c r="B79" s="220" t="s">
        <v>793</v>
      </c>
      <c r="C79" s="258" t="s">
        <v>615</v>
      </c>
      <c r="D79" s="258" t="s">
        <v>324</v>
      </c>
      <c r="E79" s="272">
        <v>64</v>
      </c>
      <c r="F79" s="124" t="s">
        <v>77</v>
      </c>
      <c r="G79" s="163">
        <v>1331</v>
      </c>
      <c r="H79" s="293">
        <v>732111</v>
      </c>
      <c r="I79" s="290" t="s">
        <v>738</v>
      </c>
      <c r="J79" s="315">
        <v>2371593</v>
      </c>
      <c r="K79" s="315">
        <v>1343741.98</v>
      </c>
      <c r="L79" s="315">
        <v>1568950.43</v>
      </c>
      <c r="M79" s="207">
        <f t="shared" si="0"/>
        <v>0.56659889787159934</v>
      </c>
      <c r="N79" s="207">
        <f t="shared" si="1"/>
        <v>0.85645916805669897</v>
      </c>
    </row>
    <row r="80" spans="1:17" ht="15">
      <c r="A80" s="220" t="s">
        <v>793</v>
      </c>
      <c r="B80" s="220" t="s">
        <v>793</v>
      </c>
      <c r="C80" s="258" t="s">
        <v>615</v>
      </c>
      <c r="D80" s="258" t="s">
        <v>327</v>
      </c>
      <c r="E80" s="272">
        <v>65</v>
      </c>
      <c r="F80" s="124" t="s">
        <v>77</v>
      </c>
      <c r="G80" s="163">
        <v>1331</v>
      </c>
      <c r="H80" s="293">
        <v>732112</v>
      </c>
      <c r="I80" s="290" t="s">
        <v>739</v>
      </c>
      <c r="J80" s="275">
        <v>320531639</v>
      </c>
      <c r="K80" s="275"/>
      <c r="L80" s="275"/>
      <c r="M80" s="207">
        <f t="shared" ref="M80:M143" si="2">IFERROR(SUM(K80/J80),"")</f>
        <v>0</v>
      </c>
      <c r="N80" s="207" t="str">
        <f t="shared" si="1"/>
        <v/>
      </c>
    </row>
    <row r="81" spans="1:14" ht="15">
      <c r="A81" s="220" t="s">
        <v>793</v>
      </c>
      <c r="B81" s="220" t="s">
        <v>793</v>
      </c>
      <c r="C81" s="258" t="s">
        <v>615</v>
      </c>
      <c r="D81" s="258" t="s">
        <v>333</v>
      </c>
      <c r="E81" s="272">
        <v>66</v>
      </c>
      <c r="F81" s="124" t="s">
        <v>77</v>
      </c>
      <c r="G81" s="163">
        <v>1331</v>
      </c>
      <c r="H81" s="293">
        <v>732113</v>
      </c>
      <c r="I81" s="290" t="s">
        <v>740</v>
      </c>
      <c r="J81" s="275">
        <v>502000</v>
      </c>
      <c r="K81" s="275">
        <v>0</v>
      </c>
      <c r="L81" s="275">
        <v>140110</v>
      </c>
      <c r="M81" s="207">
        <f t="shared" si="2"/>
        <v>0</v>
      </c>
      <c r="N81" s="207">
        <f t="shared" ref="N81:N144" si="3">IFERROR(SUM(K81/L81),"")</f>
        <v>0</v>
      </c>
    </row>
    <row r="82" spans="1:14" ht="15">
      <c r="A82" s="220" t="s">
        <v>793</v>
      </c>
      <c r="B82" s="220" t="s">
        <v>793</v>
      </c>
      <c r="C82" s="258" t="s">
        <v>615</v>
      </c>
      <c r="D82" s="258" t="s">
        <v>336</v>
      </c>
      <c r="E82" s="272">
        <v>67</v>
      </c>
      <c r="F82" s="124" t="s">
        <v>77</v>
      </c>
      <c r="G82" s="163">
        <v>1331</v>
      </c>
      <c r="H82" s="293">
        <v>732114</v>
      </c>
      <c r="I82" s="290" t="s">
        <v>741</v>
      </c>
      <c r="J82" s="275">
        <v>113221005</v>
      </c>
      <c r="K82" s="275"/>
      <c r="L82" s="275"/>
      <c r="M82" s="207">
        <f t="shared" si="2"/>
        <v>0</v>
      </c>
      <c r="N82" s="207" t="str">
        <f t="shared" si="3"/>
        <v/>
      </c>
    </row>
    <row r="83" spans="1:14">
      <c r="A83" s="220" t="s">
        <v>793</v>
      </c>
      <c r="B83" s="220" t="s">
        <v>793</v>
      </c>
      <c r="C83" s="258" t="s">
        <v>615</v>
      </c>
      <c r="D83" s="258" t="s">
        <v>347</v>
      </c>
      <c r="E83" s="272">
        <v>68</v>
      </c>
      <c r="F83" s="124" t="s">
        <v>77</v>
      </c>
      <c r="G83" s="163">
        <v>1331</v>
      </c>
      <c r="H83" s="293">
        <v>732115</v>
      </c>
      <c r="I83" s="291" t="s">
        <v>742</v>
      </c>
      <c r="J83" s="275">
        <v>1620413</v>
      </c>
      <c r="K83" s="275"/>
      <c r="L83" s="275"/>
      <c r="M83" s="207">
        <f t="shared" si="2"/>
        <v>0</v>
      </c>
      <c r="N83" s="207" t="str">
        <f t="shared" si="3"/>
        <v/>
      </c>
    </row>
    <row r="84" spans="1:14" ht="15">
      <c r="A84" s="220" t="s">
        <v>793</v>
      </c>
      <c r="B84" s="220" t="s">
        <v>793</v>
      </c>
      <c r="C84" s="258" t="s">
        <v>615</v>
      </c>
      <c r="D84" s="258" t="s">
        <v>347</v>
      </c>
      <c r="E84" s="272">
        <v>69</v>
      </c>
      <c r="F84" s="124" t="s">
        <v>77</v>
      </c>
      <c r="G84" s="163">
        <v>1331</v>
      </c>
      <c r="H84" s="293">
        <v>732116</v>
      </c>
      <c r="I84" s="291" t="s">
        <v>743</v>
      </c>
      <c r="J84" s="275">
        <v>1678622</v>
      </c>
      <c r="K84" s="275"/>
      <c r="L84" s="275"/>
      <c r="M84" s="207">
        <f t="shared" si="2"/>
        <v>0</v>
      </c>
      <c r="N84" s="207" t="str">
        <f t="shared" si="3"/>
        <v/>
      </c>
    </row>
    <row r="85" spans="1:14" ht="14.25" customHeight="1">
      <c r="A85" s="220" t="s">
        <v>793</v>
      </c>
      <c r="B85" s="220" t="s">
        <v>793</v>
      </c>
      <c r="C85" s="258" t="s">
        <v>615</v>
      </c>
      <c r="D85" s="258" t="s">
        <v>615</v>
      </c>
      <c r="E85" s="272">
        <v>70</v>
      </c>
      <c r="F85" s="124" t="s">
        <v>77</v>
      </c>
      <c r="G85" s="163">
        <v>1331</v>
      </c>
      <c r="H85" s="293">
        <v>732120</v>
      </c>
      <c r="I85" s="292" t="s">
        <v>744</v>
      </c>
      <c r="J85" s="275">
        <v>3943819</v>
      </c>
      <c r="K85" s="275"/>
      <c r="L85" s="275"/>
      <c r="M85" s="207">
        <f t="shared" si="2"/>
        <v>0</v>
      </c>
      <c r="N85" s="207" t="str">
        <f t="shared" si="3"/>
        <v/>
      </c>
    </row>
    <row r="86" spans="1:14" ht="14.25" customHeight="1">
      <c r="A86" s="220" t="s">
        <v>793</v>
      </c>
      <c r="B86" s="220" t="s">
        <v>793</v>
      </c>
      <c r="C86" s="258" t="s">
        <v>615</v>
      </c>
      <c r="D86" s="258" t="s">
        <v>615</v>
      </c>
      <c r="E86" s="272">
        <v>71</v>
      </c>
      <c r="F86" s="124" t="s">
        <v>77</v>
      </c>
      <c r="G86" s="163">
        <v>1331</v>
      </c>
      <c r="H86" s="293">
        <v>732130</v>
      </c>
      <c r="I86" s="290" t="s">
        <v>745</v>
      </c>
      <c r="J86" s="275">
        <v>14607342</v>
      </c>
      <c r="K86" s="275"/>
      <c r="L86" s="275"/>
      <c r="M86" s="207">
        <f t="shared" si="2"/>
        <v>0</v>
      </c>
      <c r="N86" s="207" t="str">
        <f t="shared" si="3"/>
        <v/>
      </c>
    </row>
    <row r="87" spans="1:14" ht="14.25" customHeight="1">
      <c r="A87" s="220" t="s">
        <v>793</v>
      </c>
      <c r="B87" s="220" t="s">
        <v>793</v>
      </c>
      <c r="C87" s="258" t="s">
        <v>615</v>
      </c>
      <c r="D87" s="258" t="s">
        <v>618</v>
      </c>
      <c r="E87" s="272">
        <v>72</v>
      </c>
      <c r="F87" s="124" t="s">
        <v>77</v>
      </c>
      <c r="G87" s="163">
        <v>1331</v>
      </c>
      <c r="H87" s="293">
        <v>732131</v>
      </c>
      <c r="I87" s="290" t="s">
        <v>746</v>
      </c>
      <c r="J87" s="275">
        <v>17362600</v>
      </c>
      <c r="K87" s="275"/>
      <c r="L87" s="275"/>
      <c r="M87" s="207">
        <f t="shared" si="2"/>
        <v>0</v>
      </c>
      <c r="N87" s="207" t="str">
        <f t="shared" si="3"/>
        <v/>
      </c>
    </row>
    <row r="88" spans="1:14" ht="14.25" customHeight="1">
      <c r="A88" s="220" t="s">
        <v>793</v>
      </c>
      <c r="B88" s="220" t="s">
        <v>793</v>
      </c>
      <c r="C88" s="258" t="s">
        <v>615</v>
      </c>
      <c r="D88" s="258" t="s">
        <v>617</v>
      </c>
      <c r="E88" s="272">
        <v>73</v>
      </c>
      <c r="F88" s="124" t="s">
        <v>77</v>
      </c>
      <c r="G88" s="163">
        <v>1331</v>
      </c>
      <c r="H88" s="293">
        <v>732132</v>
      </c>
      <c r="I88" s="294" t="s">
        <v>80</v>
      </c>
      <c r="J88" s="275">
        <v>0</v>
      </c>
      <c r="K88" s="275"/>
      <c r="L88" s="275"/>
      <c r="M88" s="207" t="str">
        <f t="shared" si="2"/>
        <v/>
      </c>
      <c r="N88" s="207" t="str">
        <f t="shared" si="3"/>
        <v/>
      </c>
    </row>
    <row r="89" spans="1:14" ht="14.25" customHeight="1">
      <c r="A89" s="220" t="s">
        <v>793</v>
      </c>
      <c r="B89" s="220" t="s">
        <v>793</v>
      </c>
      <c r="C89" s="258" t="s">
        <v>615</v>
      </c>
      <c r="D89" s="258" t="s">
        <v>618</v>
      </c>
      <c r="E89" s="272">
        <v>74</v>
      </c>
      <c r="F89" s="124" t="s">
        <v>77</v>
      </c>
      <c r="G89" s="163">
        <v>1331</v>
      </c>
      <c r="H89" s="293">
        <v>732133</v>
      </c>
      <c r="I89" s="294" t="s">
        <v>81</v>
      </c>
      <c r="J89" s="275">
        <v>1158302</v>
      </c>
      <c r="K89" s="275"/>
      <c r="L89" s="275"/>
      <c r="M89" s="207">
        <f t="shared" si="2"/>
        <v>0</v>
      </c>
      <c r="N89" s="207" t="str">
        <f t="shared" si="3"/>
        <v/>
      </c>
    </row>
    <row r="90" spans="1:14" ht="14.25" customHeight="1">
      <c r="A90" s="220" t="s">
        <v>793</v>
      </c>
      <c r="B90" s="220" t="s">
        <v>793</v>
      </c>
      <c r="C90" s="258" t="s">
        <v>615</v>
      </c>
      <c r="D90" s="258" t="s">
        <v>617</v>
      </c>
      <c r="E90" s="272">
        <v>75</v>
      </c>
      <c r="F90" s="124" t="s">
        <v>77</v>
      </c>
      <c r="G90" s="163">
        <v>1331</v>
      </c>
      <c r="H90" s="293">
        <v>732134</v>
      </c>
      <c r="I90" s="294" t="s">
        <v>82</v>
      </c>
      <c r="J90" s="275">
        <v>60000</v>
      </c>
      <c r="K90" s="275"/>
      <c r="L90" s="275"/>
      <c r="M90" s="207">
        <f t="shared" si="2"/>
        <v>0</v>
      </c>
      <c r="N90" s="207" t="str">
        <f t="shared" si="3"/>
        <v/>
      </c>
    </row>
    <row r="91" spans="1:14" ht="14.25" customHeight="1">
      <c r="A91" s="220" t="s">
        <v>793</v>
      </c>
      <c r="B91" s="220" t="s">
        <v>793</v>
      </c>
      <c r="C91" s="258" t="s">
        <v>615</v>
      </c>
      <c r="D91" s="258" t="s">
        <v>616</v>
      </c>
      <c r="E91" s="272">
        <v>76</v>
      </c>
      <c r="F91" s="124" t="s">
        <v>77</v>
      </c>
      <c r="G91" s="163">
        <v>1331</v>
      </c>
      <c r="H91" s="293">
        <v>732140</v>
      </c>
      <c r="I91" s="294" t="s">
        <v>83</v>
      </c>
      <c r="J91" s="275">
        <v>35000</v>
      </c>
      <c r="K91" s="275"/>
      <c r="L91" s="275"/>
      <c r="M91" s="207">
        <f t="shared" si="2"/>
        <v>0</v>
      </c>
      <c r="N91" s="207" t="str">
        <f t="shared" si="3"/>
        <v/>
      </c>
    </row>
    <row r="92" spans="1:14" ht="14.25" customHeight="1">
      <c r="A92" s="220" t="s">
        <v>793</v>
      </c>
      <c r="B92" s="220" t="s">
        <v>793</v>
      </c>
      <c r="C92" s="258" t="s">
        <v>615</v>
      </c>
      <c r="D92" s="258" t="s">
        <v>614</v>
      </c>
      <c r="E92" s="272">
        <v>77</v>
      </c>
      <c r="F92" s="124"/>
      <c r="G92" s="167"/>
      <c r="H92" s="357" t="s">
        <v>84</v>
      </c>
      <c r="I92" s="290" t="s">
        <v>747</v>
      </c>
      <c r="J92" s="275">
        <v>0</v>
      </c>
      <c r="K92" s="275"/>
      <c r="L92" s="275"/>
      <c r="M92" s="207" t="str">
        <f t="shared" si="2"/>
        <v/>
      </c>
      <c r="N92" s="207" t="str">
        <f t="shared" si="3"/>
        <v/>
      </c>
    </row>
    <row r="93" spans="1:14" ht="14.25" customHeight="1">
      <c r="A93" s="220"/>
      <c r="B93" s="220" t="s">
        <v>793</v>
      </c>
      <c r="C93" s="258"/>
      <c r="D93" s="258" t="s">
        <v>621</v>
      </c>
      <c r="E93" s="272">
        <v>78</v>
      </c>
      <c r="F93" s="124" t="s">
        <v>720</v>
      </c>
      <c r="G93" s="171">
        <v>14412</v>
      </c>
      <c r="H93" s="206">
        <v>733100</v>
      </c>
      <c r="I93" s="295" t="s">
        <v>85</v>
      </c>
      <c r="J93" s="275">
        <v>7247003</v>
      </c>
      <c r="K93" s="275">
        <v>1149422.5899999999</v>
      </c>
      <c r="L93" s="275">
        <v>1191877.78</v>
      </c>
      <c r="M93" s="207">
        <f t="shared" si="2"/>
        <v>0.15860661158826619</v>
      </c>
      <c r="N93" s="207">
        <f t="shared" si="3"/>
        <v>0.96437957757715709</v>
      </c>
    </row>
    <row r="94" spans="1:14" ht="14.25" customHeight="1">
      <c r="A94" s="220" t="s">
        <v>793</v>
      </c>
      <c r="B94" s="220" t="s">
        <v>793</v>
      </c>
      <c r="C94" s="258" t="s">
        <v>621</v>
      </c>
      <c r="D94" s="258" t="s">
        <v>621</v>
      </c>
      <c r="E94" s="272">
        <v>79</v>
      </c>
      <c r="F94" s="124" t="s">
        <v>69</v>
      </c>
      <c r="G94" s="171">
        <v>14412</v>
      </c>
      <c r="H94" s="293">
        <v>733110</v>
      </c>
      <c r="I94" s="296" t="s">
        <v>748</v>
      </c>
      <c r="J94" s="275">
        <v>5032123</v>
      </c>
      <c r="K94" s="275">
        <v>702234.91</v>
      </c>
      <c r="L94" s="275">
        <v>972384.78</v>
      </c>
      <c r="M94" s="207">
        <f t="shared" si="2"/>
        <v>0.1395504263309939</v>
      </c>
      <c r="N94" s="207">
        <f t="shared" si="3"/>
        <v>0.72217801475666865</v>
      </c>
    </row>
    <row r="95" spans="1:14" ht="14.25" customHeight="1">
      <c r="A95" s="220" t="s">
        <v>793</v>
      </c>
      <c r="B95" s="220" t="s">
        <v>793</v>
      </c>
      <c r="C95" s="258" t="s">
        <v>621</v>
      </c>
      <c r="D95" s="258" t="s">
        <v>621</v>
      </c>
      <c r="E95" s="272">
        <v>80</v>
      </c>
      <c r="F95" s="124" t="s">
        <v>69</v>
      </c>
      <c r="G95" s="171">
        <v>14412</v>
      </c>
      <c r="H95" s="293">
        <v>733120</v>
      </c>
      <c r="I95" s="297" t="s">
        <v>749</v>
      </c>
      <c r="J95" s="275">
        <v>1141586</v>
      </c>
      <c r="K95" s="275">
        <v>443916.55</v>
      </c>
      <c r="L95" s="275">
        <v>219492</v>
      </c>
      <c r="M95" s="207">
        <f t="shared" si="2"/>
        <v>0.38885949021799493</v>
      </c>
      <c r="N95" s="207">
        <f t="shared" si="3"/>
        <v>2.0224725730322746</v>
      </c>
    </row>
    <row r="96" spans="1:14" ht="18.75" customHeight="1">
      <c r="A96" s="257"/>
      <c r="B96" s="257"/>
      <c r="C96" s="258"/>
      <c r="D96" s="258" t="s">
        <v>36</v>
      </c>
      <c r="E96" s="272">
        <v>81</v>
      </c>
      <c r="F96" s="124" t="s">
        <v>721</v>
      </c>
      <c r="G96" s="163">
        <v>1332</v>
      </c>
      <c r="H96" s="172">
        <v>741000</v>
      </c>
      <c r="I96" s="173" t="s">
        <v>924</v>
      </c>
      <c r="J96" s="316">
        <v>243311333.94999999</v>
      </c>
      <c r="K96" s="316">
        <v>45175583.390000001</v>
      </c>
      <c r="L96" s="316">
        <v>15855577.959999999</v>
      </c>
      <c r="M96" s="207">
        <f t="shared" si="2"/>
        <v>0.18566986854497908</v>
      </c>
      <c r="N96" s="207">
        <f t="shared" si="3"/>
        <v>2.8491918430200198</v>
      </c>
    </row>
    <row r="97" spans="1:16" ht="28.5" customHeight="1">
      <c r="A97" s="257"/>
      <c r="B97" s="257"/>
      <c r="C97" s="258"/>
      <c r="D97" s="258" t="s">
        <v>36</v>
      </c>
      <c r="E97" s="272">
        <v>82</v>
      </c>
      <c r="F97" s="124" t="s">
        <v>721</v>
      </c>
      <c r="G97" s="163">
        <v>1332</v>
      </c>
      <c r="H97" s="206">
        <v>741100</v>
      </c>
      <c r="I97" s="274" t="s">
        <v>86</v>
      </c>
      <c r="J97" s="276">
        <v>21161087</v>
      </c>
      <c r="K97" s="276">
        <v>3958869.08</v>
      </c>
      <c r="L97" s="276">
        <v>1998520.01</v>
      </c>
      <c r="M97" s="207">
        <f t="shared" si="2"/>
        <v>0.18708250100762783</v>
      </c>
      <c r="N97" s="207">
        <f t="shared" si="3"/>
        <v>1.9809003963888259</v>
      </c>
    </row>
    <row r="98" spans="1:16" ht="19.5" customHeight="1">
      <c r="A98" s="220"/>
      <c r="B98" s="220" t="s">
        <v>793</v>
      </c>
      <c r="C98" s="258"/>
      <c r="D98" s="258" t="s">
        <v>304</v>
      </c>
      <c r="E98" s="272">
        <v>83</v>
      </c>
      <c r="F98" s="124" t="s">
        <v>87</v>
      </c>
      <c r="G98" s="163">
        <v>1312</v>
      </c>
      <c r="H98" s="206">
        <v>741110</v>
      </c>
      <c r="I98" s="298" t="s">
        <v>88</v>
      </c>
      <c r="J98" s="315">
        <v>18883467</v>
      </c>
      <c r="K98" s="315">
        <v>3638281.22</v>
      </c>
      <c r="L98" s="315">
        <v>1970220.14</v>
      </c>
      <c r="M98" s="207">
        <f t="shared" si="2"/>
        <v>0.19267019239634334</v>
      </c>
      <c r="N98" s="207">
        <f t="shared" si="3"/>
        <v>1.8466369042395436</v>
      </c>
    </row>
    <row r="99" spans="1:16" ht="15.75" customHeight="1">
      <c r="A99" s="220"/>
      <c r="B99" s="220" t="s">
        <v>793</v>
      </c>
      <c r="C99" s="258"/>
      <c r="D99" s="258" t="s">
        <v>304</v>
      </c>
      <c r="E99" s="272">
        <v>84</v>
      </c>
      <c r="F99" s="124" t="s">
        <v>89</v>
      </c>
      <c r="G99" s="163">
        <v>1322</v>
      </c>
      <c r="H99" s="206">
        <v>741120</v>
      </c>
      <c r="I99" s="298" t="s">
        <v>90</v>
      </c>
      <c r="J99" s="315">
        <v>2277620</v>
      </c>
      <c r="K99" s="315">
        <v>320587.86</v>
      </c>
      <c r="L99" s="315">
        <v>28299.87</v>
      </c>
      <c r="M99" s="207">
        <f t="shared" si="2"/>
        <v>0.14075563965894222</v>
      </c>
      <c r="N99" s="207">
        <f t="shared" si="3"/>
        <v>11.328244970736614</v>
      </c>
    </row>
    <row r="100" spans="1:16" ht="15.75" customHeight="1">
      <c r="A100" s="257"/>
      <c r="B100" s="257"/>
      <c r="C100" s="258"/>
      <c r="D100" s="258"/>
      <c r="E100" s="272">
        <v>85</v>
      </c>
      <c r="F100" s="124" t="s">
        <v>93</v>
      </c>
      <c r="G100" s="163">
        <v>1332</v>
      </c>
      <c r="H100" s="206">
        <v>742100</v>
      </c>
      <c r="I100" s="298" t="s">
        <v>91</v>
      </c>
      <c r="J100" s="276">
        <v>215286632.94999999</v>
      </c>
      <c r="K100" s="276">
        <v>39777299.109999999</v>
      </c>
      <c r="L100" s="276">
        <v>12602565.949999999</v>
      </c>
      <c r="M100" s="207">
        <f t="shared" si="2"/>
        <v>0.18476437001659188</v>
      </c>
      <c r="N100" s="207">
        <f t="shared" si="3"/>
        <v>3.1562857332240344</v>
      </c>
    </row>
    <row r="101" spans="1:16" ht="15.75" customHeight="1">
      <c r="A101" s="220"/>
      <c r="B101" s="220" t="s">
        <v>793</v>
      </c>
      <c r="C101" s="258"/>
      <c r="D101" s="258" t="s">
        <v>615</v>
      </c>
      <c r="E101" s="272">
        <v>86</v>
      </c>
      <c r="F101" s="124" t="s">
        <v>93</v>
      </c>
      <c r="G101" s="163">
        <v>1332</v>
      </c>
      <c r="H101" s="206">
        <v>742110</v>
      </c>
      <c r="I101" s="298" t="s">
        <v>92</v>
      </c>
      <c r="J101" s="315">
        <v>215286632.94999999</v>
      </c>
      <c r="K101" s="315">
        <v>39777299.109999999</v>
      </c>
      <c r="L101" s="315">
        <v>12602565.949999999</v>
      </c>
      <c r="M101" s="207">
        <f t="shared" si="2"/>
        <v>0.18476437001659188</v>
      </c>
      <c r="N101" s="207">
        <f t="shared" si="3"/>
        <v>3.1562857332240344</v>
      </c>
      <c r="O101" s="155"/>
      <c r="P101" s="155"/>
    </row>
    <row r="102" spans="1:16" ht="15.75" customHeight="1">
      <c r="A102" s="220" t="s">
        <v>793</v>
      </c>
      <c r="B102" s="220" t="s">
        <v>793</v>
      </c>
      <c r="C102" s="258" t="s">
        <v>615</v>
      </c>
      <c r="D102" s="258" t="s">
        <v>324</v>
      </c>
      <c r="E102" s="272">
        <v>87</v>
      </c>
      <c r="F102" s="124" t="s">
        <v>93</v>
      </c>
      <c r="G102" s="163">
        <v>1332</v>
      </c>
      <c r="H102" s="293">
        <v>742111</v>
      </c>
      <c r="I102" s="278" t="s">
        <v>94</v>
      </c>
      <c r="J102" s="275">
        <v>387296</v>
      </c>
      <c r="K102" s="275">
        <v>329640</v>
      </c>
      <c r="L102" s="275">
        <v>301500</v>
      </c>
      <c r="M102" s="207">
        <f t="shared" si="2"/>
        <v>0.85113195075601089</v>
      </c>
      <c r="N102" s="207">
        <f t="shared" si="3"/>
        <v>1.0933333333333333</v>
      </c>
    </row>
    <row r="103" spans="1:16" ht="15.75" customHeight="1">
      <c r="A103" s="220" t="s">
        <v>793</v>
      </c>
      <c r="B103" s="220" t="s">
        <v>793</v>
      </c>
      <c r="C103" s="258" t="s">
        <v>615</v>
      </c>
      <c r="D103" s="258" t="s">
        <v>327</v>
      </c>
      <c r="E103" s="272">
        <v>88</v>
      </c>
      <c r="F103" s="124" t="s">
        <v>93</v>
      </c>
      <c r="G103" s="163">
        <v>1332</v>
      </c>
      <c r="H103" s="293">
        <v>742112</v>
      </c>
      <c r="I103" s="278" t="s">
        <v>95</v>
      </c>
      <c r="J103" s="275">
        <v>75162471</v>
      </c>
      <c r="K103" s="275"/>
      <c r="L103" s="275"/>
      <c r="M103" s="207">
        <f t="shared" si="2"/>
        <v>0</v>
      </c>
      <c r="N103" s="207" t="str">
        <f t="shared" si="3"/>
        <v/>
      </c>
    </row>
    <row r="104" spans="1:16" ht="15.75" customHeight="1">
      <c r="A104" s="220" t="s">
        <v>793</v>
      </c>
      <c r="B104" s="220" t="s">
        <v>793</v>
      </c>
      <c r="C104" s="258" t="s">
        <v>615</v>
      </c>
      <c r="D104" s="258" t="s">
        <v>333</v>
      </c>
      <c r="E104" s="272">
        <v>89</v>
      </c>
      <c r="F104" s="124" t="s">
        <v>93</v>
      </c>
      <c r="G104" s="163">
        <v>1332</v>
      </c>
      <c r="H104" s="293">
        <v>742113</v>
      </c>
      <c r="I104" s="278" t="s">
        <v>96</v>
      </c>
      <c r="J104" s="275">
        <v>191000</v>
      </c>
      <c r="K104" s="275">
        <v>1794.22</v>
      </c>
      <c r="L104" s="275">
        <v>49313</v>
      </c>
      <c r="M104" s="207">
        <f t="shared" si="2"/>
        <v>9.3938219895287958E-3</v>
      </c>
      <c r="N104" s="207">
        <f t="shared" si="3"/>
        <v>3.6384320564557017E-2</v>
      </c>
    </row>
    <row r="105" spans="1:16" ht="15.75" customHeight="1">
      <c r="A105" s="220" t="s">
        <v>793</v>
      </c>
      <c r="B105" s="220" t="s">
        <v>793</v>
      </c>
      <c r="C105" s="258" t="s">
        <v>615</v>
      </c>
      <c r="D105" s="258" t="s">
        <v>336</v>
      </c>
      <c r="E105" s="272">
        <v>90</v>
      </c>
      <c r="F105" s="124" t="s">
        <v>93</v>
      </c>
      <c r="G105" s="163">
        <v>1332</v>
      </c>
      <c r="H105" s="293">
        <v>742114</v>
      </c>
      <c r="I105" s="278" t="s">
        <v>97</v>
      </c>
      <c r="J105" s="275">
        <v>123355134.95</v>
      </c>
      <c r="K105" s="275"/>
      <c r="L105" s="275"/>
      <c r="M105" s="207">
        <f t="shared" si="2"/>
        <v>0</v>
      </c>
      <c r="N105" s="207" t="str">
        <f t="shared" si="3"/>
        <v/>
      </c>
    </row>
    <row r="106" spans="1:16" ht="15.75" customHeight="1">
      <c r="A106" s="220" t="s">
        <v>793</v>
      </c>
      <c r="B106" s="220" t="s">
        <v>793</v>
      </c>
      <c r="C106" s="258" t="s">
        <v>615</v>
      </c>
      <c r="D106" s="258" t="s">
        <v>347</v>
      </c>
      <c r="E106" s="272">
        <v>91</v>
      </c>
      <c r="F106" s="124" t="s">
        <v>93</v>
      </c>
      <c r="G106" s="163">
        <v>1332</v>
      </c>
      <c r="H106" s="293">
        <v>742115</v>
      </c>
      <c r="I106" s="278" t="s">
        <v>98</v>
      </c>
      <c r="J106" s="275">
        <v>204941</v>
      </c>
      <c r="K106" s="275"/>
      <c r="L106" s="275"/>
      <c r="M106" s="207">
        <f t="shared" si="2"/>
        <v>0</v>
      </c>
      <c r="N106" s="207" t="str">
        <f t="shared" si="3"/>
        <v/>
      </c>
    </row>
    <row r="107" spans="1:16" ht="15.75" customHeight="1">
      <c r="A107" s="220" t="s">
        <v>793</v>
      </c>
      <c r="B107" s="220" t="s">
        <v>793</v>
      </c>
      <c r="C107" s="258" t="s">
        <v>615</v>
      </c>
      <c r="D107" s="258" t="s">
        <v>347</v>
      </c>
      <c r="E107" s="272">
        <v>92</v>
      </c>
      <c r="F107" s="124" t="s">
        <v>93</v>
      </c>
      <c r="G107" s="163">
        <v>1332</v>
      </c>
      <c r="H107" s="293">
        <v>742116</v>
      </c>
      <c r="I107" s="278" t="s">
        <v>99</v>
      </c>
      <c r="J107" s="275">
        <v>2883190</v>
      </c>
      <c r="K107" s="275"/>
      <c r="L107" s="275"/>
      <c r="M107" s="207">
        <f t="shared" si="2"/>
        <v>0</v>
      </c>
      <c r="N107" s="207" t="str">
        <f t="shared" si="3"/>
        <v/>
      </c>
    </row>
    <row r="108" spans="1:16" ht="15.75" customHeight="1">
      <c r="A108" s="220"/>
      <c r="B108" s="220" t="s">
        <v>793</v>
      </c>
      <c r="C108" s="258"/>
      <c r="D108" s="258" t="s">
        <v>615</v>
      </c>
      <c r="E108" s="272">
        <v>93</v>
      </c>
      <c r="F108" s="124" t="s">
        <v>100</v>
      </c>
      <c r="G108" s="163">
        <v>1442</v>
      </c>
      <c r="H108" s="206">
        <v>742200</v>
      </c>
      <c r="I108" s="298" t="s">
        <v>101</v>
      </c>
      <c r="J108" s="275">
        <v>6863614</v>
      </c>
      <c r="K108" s="275">
        <v>1439415.2</v>
      </c>
      <c r="L108" s="275">
        <v>1254492</v>
      </c>
      <c r="M108" s="207">
        <f t="shared" si="2"/>
        <v>0.2097168051699877</v>
      </c>
      <c r="N108" s="207">
        <f t="shared" si="3"/>
        <v>1.1474088316226807</v>
      </c>
    </row>
    <row r="109" spans="1:16" s="130" customFormat="1" ht="26.25" customHeight="1">
      <c r="A109" s="220"/>
      <c r="B109" s="220"/>
      <c r="C109" s="258"/>
      <c r="D109" s="258"/>
      <c r="E109" s="262">
        <v>94</v>
      </c>
      <c r="F109" s="262"/>
      <c r="G109" s="260">
        <v>2</v>
      </c>
      <c r="H109" s="270"/>
      <c r="I109" s="154" t="s">
        <v>102</v>
      </c>
      <c r="J109" s="271">
        <v>13912081615.099998</v>
      </c>
      <c r="K109" s="271">
        <v>2739335029.5799999</v>
      </c>
      <c r="L109" s="271">
        <v>2358697459.5299997</v>
      </c>
      <c r="M109" s="269">
        <f t="shared" si="2"/>
        <v>0.19690331794824723</v>
      </c>
      <c r="N109" s="269">
        <f t="shared" si="3"/>
        <v>1.1613761733248515</v>
      </c>
      <c r="P109" s="203"/>
    </row>
    <row r="110" spans="1:16" s="130" customFormat="1" ht="26.25" customHeight="1">
      <c r="A110" s="220"/>
      <c r="B110" s="220"/>
      <c r="C110" s="258"/>
      <c r="D110" s="258"/>
      <c r="E110" s="272">
        <v>95</v>
      </c>
      <c r="F110" s="124"/>
      <c r="G110" s="124">
        <v>21</v>
      </c>
      <c r="H110" s="172" t="s">
        <v>103</v>
      </c>
      <c r="I110" s="157" t="s">
        <v>104</v>
      </c>
      <c r="J110" s="205">
        <v>3080296802.5499997</v>
      </c>
      <c r="K110" s="205">
        <v>732204173.16999996</v>
      </c>
      <c r="L110" s="205">
        <v>655534533.28999996</v>
      </c>
      <c r="M110" s="207">
        <f t="shared" si="2"/>
        <v>0.23770572126810977</v>
      </c>
      <c r="N110" s="207">
        <f t="shared" si="3"/>
        <v>1.1169574385276242</v>
      </c>
      <c r="O110" s="203"/>
      <c r="P110" s="203"/>
    </row>
    <row r="111" spans="1:16" s="130" customFormat="1" ht="12" customHeight="1">
      <c r="A111" s="220"/>
      <c r="B111" s="220"/>
      <c r="C111" s="258"/>
      <c r="D111" s="258"/>
      <c r="E111" s="272">
        <v>96</v>
      </c>
      <c r="F111" s="124" t="s">
        <v>105</v>
      </c>
      <c r="G111" s="124">
        <v>211</v>
      </c>
      <c r="H111" s="206">
        <v>611000</v>
      </c>
      <c r="I111" s="183" t="s">
        <v>106</v>
      </c>
      <c r="J111" s="275">
        <v>2801902999.3999996</v>
      </c>
      <c r="K111" s="275">
        <v>665230872.96999991</v>
      </c>
      <c r="L111" s="275">
        <v>594705167.75</v>
      </c>
      <c r="M111" s="207">
        <f t="shared" si="2"/>
        <v>0.23742109313293597</v>
      </c>
      <c r="N111" s="207">
        <f t="shared" si="3"/>
        <v>1.118589359979544</v>
      </c>
      <c r="O111" s="338"/>
      <c r="P111" s="203"/>
    </row>
    <row r="112" spans="1:16" s="130" customFormat="1" ht="12" customHeight="1">
      <c r="A112" s="220"/>
      <c r="B112" s="220" t="s">
        <v>797</v>
      </c>
      <c r="C112" s="258"/>
      <c r="D112" s="258">
        <v>211</v>
      </c>
      <c r="E112" s="272">
        <v>97</v>
      </c>
      <c r="F112" s="124" t="s">
        <v>105</v>
      </c>
      <c r="G112" s="124">
        <v>211</v>
      </c>
      <c r="H112" s="182">
        <v>611100</v>
      </c>
      <c r="I112" s="274" t="s">
        <v>107</v>
      </c>
      <c r="J112" s="275">
        <v>2407790459.5299997</v>
      </c>
      <c r="K112" s="275">
        <v>584071120.41999996</v>
      </c>
      <c r="L112" s="275">
        <v>524917528.56999993</v>
      </c>
      <c r="M112" s="207">
        <f t="shared" si="2"/>
        <v>0.24257556055521981</v>
      </c>
      <c r="N112" s="207">
        <f t="shared" si="3"/>
        <v>1.1126912107720015</v>
      </c>
      <c r="P112" s="203"/>
    </row>
    <row r="113" spans="1:16" s="130" customFormat="1" ht="12" customHeight="1">
      <c r="A113" s="220" t="s">
        <v>797</v>
      </c>
      <c r="B113" s="220" t="s">
        <v>797</v>
      </c>
      <c r="C113" s="258" t="s">
        <v>256</v>
      </c>
      <c r="D113" s="258" t="s">
        <v>623</v>
      </c>
      <c r="E113" s="272">
        <v>98</v>
      </c>
      <c r="F113" s="124"/>
      <c r="G113" s="124"/>
      <c r="H113" s="310">
        <v>611130</v>
      </c>
      <c r="I113" s="280" t="s">
        <v>108</v>
      </c>
      <c r="J113" s="275">
        <v>86426866.370000005</v>
      </c>
      <c r="K113" s="275">
        <v>178518786.13000003</v>
      </c>
      <c r="L113" s="275">
        <v>160878927.93000001</v>
      </c>
      <c r="M113" s="207">
        <f t="shared" si="2"/>
        <v>2.0655473653961662</v>
      </c>
      <c r="N113" s="207">
        <f t="shared" si="3"/>
        <v>1.1096467910805279</v>
      </c>
    </row>
    <row r="114" spans="1:16" s="130" customFormat="1" ht="26.25" customHeight="1">
      <c r="A114" s="220" t="s">
        <v>797</v>
      </c>
      <c r="B114" s="220" t="s">
        <v>797</v>
      </c>
      <c r="C114" s="258" t="s">
        <v>256</v>
      </c>
      <c r="D114" s="258">
        <v>211</v>
      </c>
      <c r="E114" s="272">
        <v>99</v>
      </c>
      <c r="F114" s="124" t="s">
        <v>105</v>
      </c>
      <c r="G114" s="124">
        <v>211</v>
      </c>
      <c r="H114" s="310">
        <v>611154</v>
      </c>
      <c r="I114" s="159" t="s">
        <v>681</v>
      </c>
      <c r="J114" s="275">
        <v>0</v>
      </c>
      <c r="K114" s="275">
        <v>0</v>
      </c>
      <c r="L114" s="275">
        <v>0</v>
      </c>
      <c r="M114" s="207" t="str">
        <f t="shared" si="2"/>
        <v/>
      </c>
      <c r="N114" s="207" t="str">
        <f t="shared" si="3"/>
        <v/>
      </c>
    </row>
    <row r="115" spans="1:16" s="130" customFormat="1" ht="39" customHeight="1">
      <c r="A115" s="220" t="s">
        <v>797</v>
      </c>
      <c r="B115" s="220" t="s">
        <v>797</v>
      </c>
      <c r="C115" s="258" t="s">
        <v>256</v>
      </c>
      <c r="D115" s="258">
        <v>211</v>
      </c>
      <c r="E115" s="272">
        <v>100</v>
      </c>
      <c r="F115" s="124" t="s">
        <v>105</v>
      </c>
      <c r="G115" s="124">
        <v>211</v>
      </c>
      <c r="H115" s="310">
        <v>611155</v>
      </c>
      <c r="I115" s="159" t="s">
        <v>682</v>
      </c>
      <c r="J115" s="275">
        <v>456934</v>
      </c>
      <c r="K115" s="275">
        <v>216116.03999999998</v>
      </c>
      <c r="L115" s="275">
        <v>136376.4</v>
      </c>
      <c r="M115" s="207">
        <f t="shared" si="2"/>
        <v>0.47296992563477436</v>
      </c>
      <c r="N115" s="207">
        <f t="shared" si="3"/>
        <v>1.5847026318336603</v>
      </c>
    </row>
    <row r="116" spans="1:16" s="130" customFormat="1" ht="39" customHeight="1">
      <c r="A116" s="220" t="s">
        <v>797</v>
      </c>
      <c r="B116" s="220" t="s">
        <v>797</v>
      </c>
      <c r="C116" s="258" t="s">
        <v>256</v>
      </c>
      <c r="D116" s="258">
        <v>211</v>
      </c>
      <c r="E116" s="272">
        <v>101</v>
      </c>
      <c r="F116" s="124" t="s">
        <v>105</v>
      </c>
      <c r="G116" s="124">
        <v>211</v>
      </c>
      <c r="H116" s="310">
        <v>611156</v>
      </c>
      <c r="I116" s="159" t="s">
        <v>683</v>
      </c>
      <c r="J116" s="275">
        <v>0</v>
      </c>
      <c r="K116" s="275">
        <v>0</v>
      </c>
      <c r="L116" s="275">
        <v>0</v>
      </c>
      <c r="M116" s="207" t="str">
        <f t="shared" si="2"/>
        <v/>
      </c>
      <c r="N116" s="207" t="str">
        <f t="shared" si="3"/>
        <v/>
      </c>
    </row>
    <row r="117" spans="1:16" s="130" customFormat="1" ht="12" customHeight="1">
      <c r="A117" s="220"/>
      <c r="B117" s="220" t="s">
        <v>797</v>
      </c>
      <c r="C117" s="258"/>
      <c r="D117" s="258" t="s">
        <v>256</v>
      </c>
      <c r="E117" s="272">
        <v>102</v>
      </c>
      <c r="F117" s="124" t="s">
        <v>722</v>
      </c>
      <c r="G117" s="175" t="s">
        <v>750</v>
      </c>
      <c r="H117" s="182">
        <v>611200</v>
      </c>
      <c r="I117" s="274" t="s">
        <v>109</v>
      </c>
      <c r="J117" s="275">
        <v>394112539.87</v>
      </c>
      <c r="K117" s="275">
        <v>81159752.549999997</v>
      </c>
      <c r="L117" s="275">
        <v>69787639.180000007</v>
      </c>
      <c r="M117" s="207">
        <f t="shared" si="2"/>
        <v>0.20593039890781184</v>
      </c>
      <c r="N117" s="207">
        <f t="shared" si="3"/>
        <v>1.1629531175380274</v>
      </c>
    </row>
    <row r="118" spans="1:16" s="130" customFormat="1" ht="15.75" customHeight="1">
      <c r="A118" s="220" t="s">
        <v>797</v>
      </c>
      <c r="B118" s="220" t="s">
        <v>798</v>
      </c>
      <c r="C118" s="258" t="s">
        <v>256</v>
      </c>
      <c r="D118" s="258" t="s">
        <v>624</v>
      </c>
      <c r="E118" s="272">
        <v>103</v>
      </c>
      <c r="F118" s="124" t="s">
        <v>110</v>
      </c>
      <c r="G118" s="175">
        <v>2731</v>
      </c>
      <c r="H118" s="310">
        <v>611225</v>
      </c>
      <c r="I118" s="159" t="s">
        <v>684</v>
      </c>
      <c r="J118" s="275">
        <v>9773653</v>
      </c>
      <c r="K118" s="275">
        <v>4514589.74</v>
      </c>
      <c r="L118" s="275">
        <v>3284812.8000000003</v>
      </c>
      <c r="M118" s="207">
        <f t="shared" si="2"/>
        <v>0.46191426480968789</v>
      </c>
      <c r="N118" s="207">
        <f t="shared" si="3"/>
        <v>1.3743826558396266</v>
      </c>
    </row>
    <row r="119" spans="1:16" s="130" customFormat="1" ht="23.25" customHeight="1">
      <c r="A119" s="220" t="s">
        <v>797</v>
      </c>
      <c r="B119" s="220" t="s">
        <v>797</v>
      </c>
      <c r="C119" s="258" t="s">
        <v>256</v>
      </c>
      <c r="D119" s="258" t="s">
        <v>256</v>
      </c>
      <c r="E119" s="272">
        <v>104</v>
      </c>
      <c r="F119" s="124" t="s">
        <v>105</v>
      </c>
      <c r="G119" s="175">
        <v>2112</v>
      </c>
      <c r="H119" s="310">
        <v>611226</v>
      </c>
      <c r="I119" s="159" t="s">
        <v>685</v>
      </c>
      <c r="J119" s="275">
        <v>3112425</v>
      </c>
      <c r="K119" s="275">
        <v>2063819.96</v>
      </c>
      <c r="L119" s="275">
        <v>181824.28</v>
      </c>
      <c r="M119" s="207">
        <f t="shared" si="2"/>
        <v>0.66309066403206507</v>
      </c>
      <c r="N119" s="207">
        <f t="shared" si="3"/>
        <v>11.35062907990066</v>
      </c>
    </row>
    <row r="120" spans="1:16" s="130" customFormat="1" ht="14.25" customHeight="1">
      <c r="A120" s="220" t="s">
        <v>797</v>
      </c>
      <c r="B120" s="220" t="s">
        <v>798</v>
      </c>
      <c r="C120" s="258" t="s">
        <v>256</v>
      </c>
      <c r="D120" s="258" t="s">
        <v>624</v>
      </c>
      <c r="E120" s="272">
        <v>105</v>
      </c>
      <c r="F120" s="124" t="s">
        <v>110</v>
      </c>
      <c r="G120" s="175">
        <v>2731</v>
      </c>
      <c r="H120" s="310">
        <v>611227</v>
      </c>
      <c r="I120" s="159" t="s">
        <v>686</v>
      </c>
      <c r="J120" s="275">
        <v>6358441</v>
      </c>
      <c r="K120" s="275">
        <v>3246270.0700000003</v>
      </c>
      <c r="L120" s="275">
        <v>2726038.8</v>
      </c>
      <c r="M120" s="207">
        <f t="shared" si="2"/>
        <v>0.51054497006420285</v>
      </c>
      <c r="N120" s="207">
        <f t="shared" si="3"/>
        <v>1.1908378083246653</v>
      </c>
    </row>
    <row r="121" spans="1:16" s="130" customFormat="1" ht="14.25" customHeight="1">
      <c r="A121" s="220" t="s">
        <v>797</v>
      </c>
      <c r="B121" s="220" t="s">
        <v>798</v>
      </c>
      <c r="C121" s="258" t="s">
        <v>256</v>
      </c>
      <c r="D121" s="258" t="s">
        <v>624</v>
      </c>
      <c r="E121" s="272">
        <v>106</v>
      </c>
      <c r="F121" s="124" t="s">
        <v>110</v>
      </c>
      <c r="G121" s="175">
        <v>2731</v>
      </c>
      <c r="H121" s="310">
        <v>611228</v>
      </c>
      <c r="I121" s="159" t="s">
        <v>687</v>
      </c>
      <c r="J121" s="275">
        <v>780135</v>
      </c>
      <c r="K121" s="275">
        <v>366431.69</v>
      </c>
      <c r="L121" s="275">
        <v>293070.52</v>
      </c>
      <c r="M121" s="207">
        <f t="shared" si="2"/>
        <v>0.46970292321200818</v>
      </c>
      <c r="N121" s="207">
        <f t="shared" si="3"/>
        <v>1.250319172327534</v>
      </c>
    </row>
    <row r="122" spans="1:16" s="130" customFormat="1" ht="15" customHeight="1">
      <c r="A122" s="220" t="s">
        <v>797</v>
      </c>
      <c r="B122" s="220" t="s">
        <v>798</v>
      </c>
      <c r="C122" s="258" t="s">
        <v>256</v>
      </c>
      <c r="D122" s="258" t="s">
        <v>624</v>
      </c>
      <c r="E122" s="272">
        <v>107</v>
      </c>
      <c r="F122" s="124" t="s">
        <v>110</v>
      </c>
      <c r="G122" s="175">
        <v>2731</v>
      </c>
      <c r="H122" s="310">
        <v>611229</v>
      </c>
      <c r="I122" s="159" t="s">
        <v>688</v>
      </c>
      <c r="J122" s="275">
        <v>1775497</v>
      </c>
      <c r="K122" s="275">
        <v>1883302.1400000001</v>
      </c>
      <c r="L122" s="275">
        <v>1521920.9200000002</v>
      </c>
      <c r="M122" s="207">
        <f t="shared" si="2"/>
        <v>1.0607182890199196</v>
      </c>
      <c r="N122" s="207">
        <f t="shared" si="3"/>
        <v>1.2374507211583634</v>
      </c>
    </row>
    <row r="123" spans="1:16" s="130" customFormat="1" ht="15" customHeight="1">
      <c r="A123" s="220"/>
      <c r="B123" s="220" t="s">
        <v>797</v>
      </c>
      <c r="C123" s="258"/>
      <c r="D123" s="258">
        <v>212</v>
      </c>
      <c r="E123" s="272">
        <v>108</v>
      </c>
      <c r="F123" s="124" t="s">
        <v>111</v>
      </c>
      <c r="G123" s="124">
        <v>212</v>
      </c>
      <c r="H123" s="182">
        <v>612000</v>
      </c>
      <c r="I123" s="283" t="s">
        <v>112</v>
      </c>
      <c r="J123" s="275">
        <v>278393803.14999998</v>
      </c>
      <c r="K123" s="275">
        <v>66973300.200000003</v>
      </c>
      <c r="L123" s="275">
        <v>60829365.539999999</v>
      </c>
      <c r="M123" s="207">
        <f t="shared" si="2"/>
        <v>0.24057036989402544</v>
      </c>
      <c r="N123" s="207">
        <f t="shared" si="3"/>
        <v>1.1010027739967121</v>
      </c>
      <c r="O123" s="338"/>
    </row>
    <row r="124" spans="1:16" s="130" customFormat="1" ht="16.5" customHeight="1">
      <c r="A124" s="220"/>
      <c r="B124" s="220" t="s">
        <v>797</v>
      </c>
      <c r="C124" s="258"/>
      <c r="D124" s="258" t="s">
        <v>388</v>
      </c>
      <c r="E124" s="272">
        <v>109</v>
      </c>
      <c r="F124" s="124" t="s">
        <v>113</v>
      </c>
      <c r="G124" s="163">
        <v>22</v>
      </c>
      <c r="H124" s="299">
        <v>613000</v>
      </c>
      <c r="I124" s="300" t="s">
        <v>114</v>
      </c>
      <c r="J124" s="275">
        <v>2892913572.48</v>
      </c>
      <c r="K124" s="275">
        <v>619386376.5</v>
      </c>
      <c r="L124" s="275">
        <v>554277558.46000004</v>
      </c>
      <c r="M124" s="207">
        <f t="shared" si="2"/>
        <v>0.21410469444789543</v>
      </c>
      <c r="N124" s="207">
        <f t="shared" si="3"/>
        <v>1.1174660908532861</v>
      </c>
    </row>
    <row r="125" spans="1:16" s="130" customFormat="1">
      <c r="A125" s="220" t="s">
        <v>797</v>
      </c>
      <c r="B125" s="220" t="s">
        <v>799</v>
      </c>
      <c r="C125" s="258" t="s">
        <v>388</v>
      </c>
      <c r="D125" s="258" t="s">
        <v>800</v>
      </c>
      <c r="E125" s="272">
        <v>110</v>
      </c>
      <c r="F125" s="124" t="s">
        <v>115</v>
      </c>
      <c r="G125" s="163">
        <v>24</v>
      </c>
      <c r="H125" s="293">
        <v>613960</v>
      </c>
      <c r="I125" s="282" t="s">
        <v>751</v>
      </c>
      <c r="J125" s="275">
        <v>30736957</v>
      </c>
      <c r="K125" s="275">
        <v>7100544.2199999997</v>
      </c>
      <c r="L125" s="275">
        <v>5076928.58</v>
      </c>
      <c r="M125" s="207">
        <f t="shared" si="2"/>
        <v>0.23100999295408456</v>
      </c>
      <c r="N125" s="207">
        <f t="shared" si="3"/>
        <v>1.3985905273459647</v>
      </c>
    </row>
    <row r="126" spans="1:16" s="130" customFormat="1" ht="22.5" customHeight="1">
      <c r="A126" s="220"/>
      <c r="B126" s="220"/>
      <c r="C126" s="258"/>
      <c r="D126" s="258"/>
      <c r="E126" s="272">
        <v>111</v>
      </c>
      <c r="F126" s="124"/>
      <c r="G126" s="124"/>
      <c r="H126" s="182"/>
      <c r="I126" s="157" t="s">
        <v>752</v>
      </c>
      <c r="J126" s="288">
        <v>7620676051.6599998</v>
      </c>
      <c r="K126" s="288">
        <v>1326959421.4899998</v>
      </c>
      <c r="L126" s="288">
        <v>1107751265.03</v>
      </c>
      <c r="M126" s="207">
        <f t="shared" si="2"/>
        <v>0.17412620776616666</v>
      </c>
      <c r="N126" s="207">
        <f t="shared" si="3"/>
        <v>1.1978857198182149</v>
      </c>
      <c r="O126" s="203"/>
    </row>
    <row r="127" spans="1:16" s="177" customFormat="1" ht="27" customHeight="1">
      <c r="A127" s="221"/>
      <c r="B127" s="221"/>
      <c r="C127" s="258"/>
      <c r="D127" s="258"/>
      <c r="E127" s="272">
        <v>112</v>
      </c>
      <c r="F127" s="124"/>
      <c r="G127" s="176"/>
      <c r="H127" s="206">
        <v>614000</v>
      </c>
      <c r="I127" s="283" t="s">
        <v>116</v>
      </c>
      <c r="J127" s="317">
        <v>6906554874.6199999</v>
      </c>
      <c r="K127" s="317">
        <v>1314399843.7499998</v>
      </c>
      <c r="L127" s="317">
        <v>1100357441.97</v>
      </c>
      <c r="M127" s="207">
        <f t="shared" si="2"/>
        <v>0.19031193809523136</v>
      </c>
      <c r="N127" s="207">
        <f t="shared" si="3"/>
        <v>1.1945207926224353</v>
      </c>
    </row>
    <row r="128" spans="1:16" s="130" customFormat="1" ht="12.75" customHeight="1">
      <c r="A128" s="220"/>
      <c r="B128" s="220" t="s">
        <v>797</v>
      </c>
      <c r="C128" s="258"/>
      <c r="D128" s="258" t="s">
        <v>454</v>
      </c>
      <c r="E128" s="272">
        <v>113</v>
      </c>
      <c r="F128" s="124" t="s">
        <v>723</v>
      </c>
      <c r="G128" s="163">
        <v>2631</v>
      </c>
      <c r="H128" s="206">
        <v>614100</v>
      </c>
      <c r="I128" s="295" t="s">
        <v>117</v>
      </c>
      <c r="J128" s="315">
        <v>735500942.62</v>
      </c>
      <c r="K128" s="315">
        <v>291590.35000000149</v>
      </c>
      <c r="L128" s="315">
        <v>295605.25</v>
      </c>
      <c r="M128" s="207">
        <f t="shared" si="2"/>
        <v>3.9645136138275898E-4</v>
      </c>
      <c r="N128" s="207">
        <f t="shared" si="3"/>
        <v>0.98641803553895435</v>
      </c>
      <c r="O128" s="359"/>
      <c r="P128" s="359"/>
    </row>
    <row r="129" spans="1:14" s="130" customFormat="1" ht="14.25" customHeight="1">
      <c r="A129" s="220" t="s">
        <v>797</v>
      </c>
      <c r="B129" s="220" t="s">
        <v>797</v>
      </c>
      <c r="C129" s="258" t="s">
        <v>454</v>
      </c>
      <c r="D129" s="258" t="s">
        <v>434</v>
      </c>
      <c r="E129" s="272">
        <v>114</v>
      </c>
      <c r="F129" s="124" t="s">
        <v>723</v>
      </c>
      <c r="G129" s="163">
        <v>2631</v>
      </c>
      <c r="H129" s="293">
        <v>614111</v>
      </c>
      <c r="I129" s="301" t="s">
        <v>753</v>
      </c>
      <c r="J129" s="275">
        <v>595100</v>
      </c>
      <c r="K129" s="275">
        <v>154753.35</v>
      </c>
      <c r="L129" s="275">
        <v>162485.25</v>
      </c>
      <c r="M129" s="207">
        <f t="shared" si="2"/>
        <v>0.2600459586624097</v>
      </c>
      <c r="N129" s="207">
        <f t="shared" si="3"/>
        <v>0.9524147576472326</v>
      </c>
    </row>
    <row r="130" spans="1:14" s="130" customFormat="1" ht="15" customHeight="1">
      <c r="A130" s="220" t="s">
        <v>797</v>
      </c>
      <c r="B130" s="220" t="s">
        <v>797</v>
      </c>
      <c r="C130" s="258" t="s">
        <v>454</v>
      </c>
      <c r="D130" s="258" t="s">
        <v>435</v>
      </c>
      <c r="E130" s="272">
        <v>115</v>
      </c>
      <c r="F130" s="124" t="s">
        <v>723</v>
      </c>
      <c r="G130" s="163">
        <v>2631</v>
      </c>
      <c r="H130" s="293">
        <v>614112</v>
      </c>
      <c r="I130" s="301" t="s">
        <v>754</v>
      </c>
      <c r="J130" s="275">
        <v>502450</v>
      </c>
      <c r="K130" s="275"/>
      <c r="L130" s="275"/>
      <c r="M130" s="207">
        <f t="shared" si="2"/>
        <v>0</v>
      </c>
      <c r="N130" s="207" t="str">
        <f t="shared" si="3"/>
        <v/>
      </c>
    </row>
    <row r="131" spans="1:14" s="130" customFormat="1" ht="16.5" customHeight="1">
      <c r="A131" s="220" t="s">
        <v>797</v>
      </c>
      <c r="B131" s="220" t="s">
        <v>797</v>
      </c>
      <c r="C131" s="258" t="s">
        <v>454</v>
      </c>
      <c r="D131" s="258" t="s">
        <v>436</v>
      </c>
      <c r="E131" s="272">
        <v>116</v>
      </c>
      <c r="F131" s="124" t="s">
        <v>723</v>
      </c>
      <c r="G131" s="163">
        <v>2631</v>
      </c>
      <c r="H131" s="293">
        <v>614113</v>
      </c>
      <c r="I131" s="301" t="s">
        <v>755</v>
      </c>
      <c r="J131" s="275">
        <v>0</v>
      </c>
      <c r="K131" s="275">
        <v>136837</v>
      </c>
      <c r="L131" s="275">
        <v>133120</v>
      </c>
      <c r="M131" s="207" t="str">
        <f t="shared" si="2"/>
        <v/>
      </c>
      <c r="N131" s="207">
        <f t="shared" si="3"/>
        <v>1.0279221754807693</v>
      </c>
    </row>
    <row r="132" spans="1:14" s="130" customFormat="1" ht="14.25" customHeight="1">
      <c r="A132" s="220" t="s">
        <v>797</v>
      </c>
      <c r="B132" s="220" t="s">
        <v>797</v>
      </c>
      <c r="C132" s="258" t="s">
        <v>454</v>
      </c>
      <c r="D132" s="258" t="s">
        <v>438</v>
      </c>
      <c r="E132" s="272">
        <v>117</v>
      </c>
      <c r="F132" s="124" t="s">
        <v>723</v>
      </c>
      <c r="G132" s="163">
        <v>2631</v>
      </c>
      <c r="H132" s="293">
        <v>614114</v>
      </c>
      <c r="I132" s="301" t="s">
        <v>756</v>
      </c>
      <c r="J132" s="275">
        <v>228515500</v>
      </c>
      <c r="K132" s="275"/>
      <c r="L132" s="275"/>
      <c r="M132" s="207">
        <f t="shared" si="2"/>
        <v>0</v>
      </c>
      <c r="N132" s="207" t="str">
        <f t="shared" si="3"/>
        <v/>
      </c>
    </row>
    <row r="133" spans="1:14" s="130" customFormat="1" ht="14.25" customHeight="1">
      <c r="A133" s="220" t="s">
        <v>797</v>
      </c>
      <c r="B133" s="220" t="s">
        <v>797</v>
      </c>
      <c r="C133" s="258" t="s">
        <v>454</v>
      </c>
      <c r="D133" s="258" t="s">
        <v>445</v>
      </c>
      <c r="E133" s="272">
        <v>118</v>
      </c>
      <c r="F133" s="124" t="s">
        <v>723</v>
      </c>
      <c r="G133" s="163">
        <v>2631</v>
      </c>
      <c r="H133" s="293">
        <v>614115</v>
      </c>
      <c r="I133" s="282" t="s">
        <v>757</v>
      </c>
      <c r="J133" s="275">
        <v>4618357</v>
      </c>
      <c r="K133" s="275"/>
      <c r="L133" s="275"/>
      <c r="M133" s="207">
        <f t="shared" si="2"/>
        <v>0</v>
      </c>
      <c r="N133" s="207" t="str">
        <f t="shared" si="3"/>
        <v/>
      </c>
    </row>
    <row r="134" spans="1:14" s="130" customFormat="1" ht="12" customHeight="1">
      <c r="A134" s="220" t="s">
        <v>797</v>
      </c>
      <c r="B134" s="220" t="s">
        <v>797</v>
      </c>
      <c r="C134" s="258" t="s">
        <v>454</v>
      </c>
      <c r="D134" s="258" t="s">
        <v>445</v>
      </c>
      <c r="E134" s="272">
        <v>119</v>
      </c>
      <c r="F134" s="124" t="s">
        <v>723</v>
      </c>
      <c r="G134" s="163">
        <v>2631</v>
      </c>
      <c r="H134" s="293">
        <v>614116</v>
      </c>
      <c r="I134" s="282" t="s">
        <v>758</v>
      </c>
      <c r="J134" s="275">
        <v>17754742</v>
      </c>
      <c r="K134" s="275"/>
      <c r="L134" s="275"/>
      <c r="M134" s="207">
        <f t="shared" si="2"/>
        <v>0</v>
      </c>
      <c r="N134" s="207" t="str">
        <f t="shared" si="3"/>
        <v/>
      </c>
    </row>
    <row r="135" spans="1:14" s="130" customFormat="1" ht="17.25" customHeight="1">
      <c r="A135" s="220" t="s">
        <v>797</v>
      </c>
      <c r="B135" s="220" t="s">
        <v>797</v>
      </c>
      <c r="C135" s="258" t="s">
        <v>454</v>
      </c>
      <c r="D135" s="258" t="s">
        <v>454</v>
      </c>
      <c r="E135" s="272">
        <v>120</v>
      </c>
      <c r="F135" s="124" t="s">
        <v>723</v>
      </c>
      <c r="G135" s="163">
        <v>2631</v>
      </c>
      <c r="H135" s="293">
        <v>614120</v>
      </c>
      <c r="I135" s="282" t="s">
        <v>120</v>
      </c>
      <c r="J135" s="275">
        <v>49933125.619999997</v>
      </c>
      <c r="K135" s="275"/>
      <c r="L135" s="275"/>
      <c r="M135" s="207">
        <f t="shared" si="2"/>
        <v>0</v>
      </c>
      <c r="N135" s="207" t="str">
        <f t="shared" si="3"/>
        <v/>
      </c>
    </row>
    <row r="136" spans="1:14" s="130" customFormat="1" ht="17.25" customHeight="1">
      <c r="A136" s="220" t="s">
        <v>797</v>
      </c>
      <c r="B136" s="220" t="s">
        <v>797</v>
      </c>
      <c r="C136" s="258" t="s">
        <v>454</v>
      </c>
      <c r="D136" s="258" t="s">
        <v>454</v>
      </c>
      <c r="E136" s="272">
        <v>121</v>
      </c>
      <c r="F136" s="124" t="s">
        <v>723</v>
      </c>
      <c r="G136" s="163">
        <v>2631</v>
      </c>
      <c r="H136" s="293">
        <v>614141</v>
      </c>
      <c r="I136" s="208" t="s">
        <v>121</v>
      </c>
      <c r="J136" s="275">
        <v>163000</v>
      </c>
      <c r="K136" s="275">
        <v>20801</v>
      </c>
      <c r="L136" s="275">
        <v>53445</v>
      </c>
      <c r="M136" s="207">
        <f t="shared" si="2"/>
        <v>0.12761349693251534</v>
      </c>
      <c r="N136" s="207">
        <f t="shared" si="3"/>
        <v>0.38920385442978761</v>
      </c>
    </row>
    <row r="137" spans="1:14" s="130" customFormat="1" ht="17.25" customHeight="1">
      <c r="A137" s="220" t="s">
        <v>797</v>
      </c>
      <c r="B137" s="220" t="s">
        <v>797</v>
      </c>
      <c r="C137" s="258" t="s">
        <v>454</v>
      </c>
      <c r="D137" s="258" t="s">
        <v>454</v>
      </c>
      <c r="E137" s="272">
        <v>122</v>
      </c>
      <c r="F137" s="124" t="s">
        <v>723</v>
      </c>
      <c r="G137" s="163">
        <v>2631</v>
      </c>
      <c r="H137" s="293">
        <v>614147</v>
      </c>
      <c r="I137" s="208" t="s">
        <v>122</v>
      </c>
      <c r="J137" s="275">
        <v>0</v>
      </c>
      <c r="K137" s="275"/>
      <c r="L137" s="275"/>
      <c r="M137" s="207" t="str">
        <f t="shared" si="2"/>
        <v/>
      </c>
      <c r="N137" s="207" t="str">
        <f t="shared" si="3"/>
        <v/>
      </c>
    </row>
    <row r="138" spans="1:14" s="130" customFormat="1" ht="17.25" customHeight="1">
      <c r="A138" s="220" t="s">
        <v>797</v>
      </c>
      <c r="B138" s="220" t="s">
        <v>801</v>
      </c>
      <c r="C138" s="258" t="s">
        <v>454</v>
      </c>
      <c r="D138" s="258" t="s">
        <v>652</v>
      </c>
      <c r="E138" s="272">
        <v>123</v>
      </c>
      <c r="F138" s="124" t="s">
        <v>723</v>
      </c>
      <c r="G138" s="163">
        <v>2631</v>
      </c>
      <c r="H138" s="293">
        <v>614150</v>
      </c>
      <c r="I138" s="282" t="s">
        <v>759</v>
      </c>
      <c r="J138" s="275">
        <v>6536700</v>
      </c>
      <c r="K138" s="275"/>
      <c r="L138" s="275"/>
      <c r="M138" s="207">
        <f t="shared" si="2"/>
        <v>0</v>
      </c>
      <c r="N138" s="207" t="str">
        <f t="shared" si="3"/>
        <v/>
      </c>
    </row>
    <row r="139" spans="1:14" s="130" customFormat="1" ht="17.25" customHeight="1">
      <c r="A139" s="220" t="s">
        <v>797</v>
      </c>
      <c r="B139" s="220" t="s">
        <v>797</v>
      </c>
      <c r="C139" s="258" t="s">
        <v>454</v>
      </c>
      <c r="D139" s="258" t="s">
        <v>449</v>
      </c>
      <c r="E139" s="272">
        <v>124</v>
      </c>
      <c r="F139" s="124" t="s">
        <v>723</v>
      </c>
      <c r="G139" s="163">
        <v>2631</v>
      </c>
      <c r="H139" s="293">
        <v>614161</v>
      </c>
      <c r="I139" s="282" t="s">
        <v>760</v>
      </c>
      <c r="J139" s="275">
        <v>0</v>
      </c>
      <c r="K139" s="275"/>
      <c r="L139" s="275"/>
      <c r="M139" s="207" t="str">
        <f t="shared" si="2"/>
        <v/>
      </c>
      <c r="N139" s="207" t="str">
        <f t="shared" si="3"/>
        <v/>
      </c>
    </row>
    <row r="140" spans="1:14" s="130" customFormat="1" ht="17.25" customHeight="1">
      <c r="A140" s="220" t="s">
        <v>797</v>
      </c>
      <c r="B140" s="220" t="s">
        <v>797</v>
      </c>
      <c r="C140" s="258" t="s">
        <v>454</v>
      </c>
      <c r="D140" s="258" t="s">
        <v>449</v>
      </c>
      <c r="E140" s="272">
        <v>125</v>
      </c>
      <c r="F140" s="124" t="s">
        <v>723</v>
      </c>
      <c r="G140" s="163">
        <v>2631</v>
      </c>
      <c r="H140" s="293">
        <v>614162</v>
      </c>
      <c r="I140" s="282" t="s">
        <v>761</v>
      </c>
      <c r="J140" s="275">
        <v>15605000</v>
      </c>
      <c r="K140" s="275"/>
      <c r="L140" s="275"/>
      <c r="M140" s="207">
        <f t="shared" si="2"/>
        <v>0</v>
      </c>
      <c r="N140" s="207" t="str">
        <f t="shared" si="3"/>
        <v/>
      </c>
    </row>
    <row r="141" spans="1:14" s="130" customFormat="1" ht="23.25" customHeight="1">
      <c r="A141" s="220" t="s">
        <v>797</v>
      </c>
      <c r="B141" s="220" t="s">
        <v>797</v>
      </c>
      <c r="C141" s="258" t="s">
        <v>454</v>
      </c>
      <c r="D141" s="258" t="s">
        <v>448</v>
      </c>
      <c r="E141" s="272">
        <v>126</v>
      </c>
      <c r="F141" s="124" t="s">
        <v>723</v>
      </c>
      <c r="G141" s="163">
        <v>2631</v>
      </c>
      <c r="H141" s="293">
        <v>614173</v>
      </c>
      <c r="I141" s="208" t="s">
        <v>123</v>
      </c>
      <c r="J141" s="275">
        <v>51703000</v>
      </c>
      <c r="K141" s="275"/>
      <c r="L141" s="275"/>
      <c r="M141" s="207">
        <f t="shared" si="2"/>
        <v>0</v>
      </c>
      <c r="N141" s="207" t="str">
        <f t="shared" si="3"/>
        <v/>
      </c>
    </row>
    <row r="142" spans="1:14" s="130" customFormat="1" ht="24.75" customHeight="1">
      <c r="A142" s="220" t="s">
        <v>797</v>
      </c>
      <c r="B142" s="220" t="s">
        <v>797</v>
      </c>
      <c r="C142" s="258" t="s">
        <v>454</v>
      </c>
      <c r="D142" s="258" t="s">
        <v>448</v>
      </c>
      <c r="E142" s="272">
        <v>127</v>
      </c>
      <c r="F142" s="124" t="s">
        <v>723</v>
      </c>
      <c r="G142" s="163">
        <v>2631</v>
      </c>
      <c r="H142" s="293">
        <v>614174</v>
      </c>
      <c r="I142" s="208" t="s">
        <v>124</v>
      </c>
      <c r="J142" s="275">
        <v>2533875</v>
      </c>
      <c r="K142" s="275"/>
      <c r="L142" s="275"/>
      <c r="M142" s="207">
        <f t="shared" si="2"/>
        <v>0</v>
      </c>
      <c r="N142" s="207" t="str">
        <f t="shared" si="3"/>
        <v/>
      </c>
    </row>
    <row r="143" spans="1:14" s="130" customFormat="1" ht="17.25" customHeight="1">
      <c r="A143" s="220" t="s">
        <v>797</v>
      </c>
      <c r="B143" s="220" t="s">
        <v>797</v>
      </c>
      <c r="C143" s="258" t="s">
        <v>454</v>
      </c>
      <c r="D143" s="258" t="s">
        <v>454</v>
      </c>
      <c r="E143" s="272">
        <v>128</v>
      </c>
      <c r="F143" s="124" t="s">
        <v>723</v>
      </c>
      <c r="G143" s="163">
        <v>2631</v>
      </c>
      <c r="H143" s="293">
        <v>614180</v>
      </c>
      <c r="I143" s="302" t="s">
        <v>125</v>
      </c>
      <c r="J143" s="275">
        <v>19966090</v>
      </c>
      <c r="K143" s="275"/>
      <c r="L143" s="275"/>
      <c r="M143" s="207">
        <f t="shared" si="2"/>
        <v>0</v>
      </c>
      <c r="N143" s="207" t="str">
        <f t="shared" si="3"/>
        <v/>
      </c>
    </row>
    <row r="144" spans="1:14" s="130" customFormat="1" ht="17.25" customHeight="1">
      <c r="A144" s="220" t="s">
        <v>797</v>
      </c>
      <c r="B144" s="220" t="s">
        <v>797</v>
      </c>
      <c r="C144" s="258" t="s">
        <v>454</v>
      </c>
      <c r="D144" s="258" t="s">
        <v>453</v>
      </c>
      <c r="E144" s="272">
        <v>129</v>
      </c>
      <c r="F144" s="124"/>
      <c r="G144" s="167"/>
      <c r="H144" s="357" t="s">
        <v>126</v>
      </c>
      <c r="I144" s="301" t="s">
        <v>689</v>
      </c>
      <c r="J144" s="275">
        <v>0</v>
      </c>
      <c r="K144" s="275"/>
      <c r="L144" s="275"/>
      <c r="M144" s="207" t="str">
        <f t="shared" ref="M144:M207" si="4">IFERROR(SUM(K144/J144),"")</f>
        <v/>
      </c>
      <c r="N144" s="207" t="str">
        <f t="shared" si="3"/>
        <v/>
      </c>
    </row>
    <row r="145" spans="1:14" s="130" customFormat="1" ht="18.75" customHeight="1">
      <c r="A145" s="220"/>
      <c r="B145" s="220" t="s">
        <v>798</v>
      </c>
      <c r="C145" s="258"/>
      <c r="D145" s="258" t="s">
        <v>627</v>
      </c>
      <c r="E145" s="272">
        <v>130</v>
      </c>
      <c r="F145" s="124" t="s">
        <v>722</v>
      </c>
      <c r="G145" s="162" t="s">
        <v>762</v>
      </c>
      <c r="H145" s="182">
        <v>614200</v>
      </c>
      <c r="I145" s="283" t="s">
        <v>127</v>
      </c>
      <c r="J145" s="275">
        <v>5050991036</v>
      </c>
      <c r="K145" s="275">
        <v>1193448568.55</v>
      </c>
      <c r="L145" s="275">
        <v>1007536003.71</v>
      </c>
      <c r="M145" s="207">
        <f t="shared" si="4"/>
        <v>0.23628008049191079</v>
      </c>
      <c r="N145" s="207">
        <f t="shared" ref="N145:N208" si="5">IFERROR(SUM(K145/L145),"")</f>
        <v>1.1845220063158273</v>
      </c>
    </row>
    <row r="146" spans="1:14" s="130" customFormat="1" ht="26.25" customHeight="1">
      <c r="A146" s="220" t="s">
        <v>798</v>
      </c>
      <c r="B146" s="220" t="s">
        <v>798</v>
      </c>
      <c r="C146" s="258" t="s">
        <v>627</v>
      </c>
      <c r="D146" s="258" t="s">
        <v>401</v>
      </c>
      <c r="E146" s="272">
        <v>131</v>
      </c>
      <c r="F146" s="124" t="s">
        <v>110</v>
      </c>
      <c r="G146" s="162">
        <v>2721</v>
      </c>
      <c r="H146" s="310">
        <v>614210</v>
      </c>
      <c r="I146" s="282" t="s">
        <v>763</v>
      </c>
      <c r="J146" s="275">
        <v>3510762729</v>
      </c>
      <c r="K146" s="275">
        <v>858375993.38999999</v>
      </c>
      <c r="L146" s="275">
        <v>745375043</v>
      </c>
      <c r="M146" s="207">
        <f t="shared" si="4"/>
        <v>0.24449843514047401</v>
      </c>
      <c r="N146" s="207">
        <f t="shared" si="5"/>
        <v>1.1516028091512047</v>
      </c>
    </row>
    <row r="147" spans="1:14" s="130" customFormat="1" ht="26.25" customHeight="1">
      <c r="A147" s="220" t="s">
        <v>798</v>
      </c>
      <c r="B147" s="220" t="s">
        <v>798</v>
      </c>
      <c r="C147" s="258" t="s">
        <v>627</v>
      </c>
      <c r="D147" s="258" t="s">
        <v>627</v>
      </c>
      <c r="E147" s="272">
        <v>132</v>
      </c>
      <c r="F147" s="124" t="s">
        <v>110</v>
      </c>
      <c r="G147" s="162">
        <v>2721</v>
      </c>
      <c r="H147" s="310">
        <v>614220</v>
      </c>
      <c r="I147" s="282" t="s">
        <v>764</v>
      </c>
      <c r="J147" s="275">
        <v>124479984</v>
      </c>
      <c r="K147" s="275">
        <v>54383191.890000001</v>
      </c>
      <c r="L147" s="275">
        <v>46710554.210000001</v>
      </c>
      <c r="M147" s="207">
        <f t="shared" si="4"/>
        <v>0.43688302442262528</v>
      </c>
      <c r="N147" s="207">
        <f t="shared" si="5"/>
        <v>1.1642591874527022</v>
      </c>
    </row>
    <row r="148" spans="1:14" s="130" customFormat="1" ht="15" customHeight="1">
      <c r="A148" s="220" t="s">
        <v>798</v>
      </c>
      <c r="B148" s="220" t="s">
        <v>798</v>
      </c>
      <c r="C148" s="258" t="s">
        <v>627</v>
      </c>
      <c r="D148" s="258" t="s">
        <v>627</v>
      </c>
      <c r="E148" s="272">
        <v>133</v>
      </c>
      <c r="F148" s="124" t="s">
        <v>110</v>
      </c>
      <c r="G148" s="162">
        <v>2721</v>
      </c>
      <c r="H148" s="310">
        <v>614231</v>
      </c>
      <c r="I148" s="282" t="s">
        <v>690</v>
      </c>
      <c r="J148" s="275">
        <v>19354223</v>
      </c>
      <c r="K148" s="275">
        <v>48447475.869999997</v>
      </c>
      <c r="L148" s="275">
        <v>47054898.530000001</v>
      </c>
      <c r="M148" s="207">
        <f t="shared" si="4"/>
        <v>2.5031992175557756</v>
      </c>
      <c r="N148" s="207">
        <f t="shared" si="5"/>
        <v>1.0295947368606513</v>
      </c>
    </row>
    <row r="149" spans="1:14" s="130" customFormat="1" ht="26.25" customHeight="1">
      <c r="A149" s="220" t="s">
        <v>798</v>
      </c>
      <c r="B149" s="220" t="s">
        <v>798</v>
      </c>
      <c r="C149" s="258" t="s">
        <v>627</v>
      </c>
      <c r="D149" s="258" t="s">
        <v>626</v>
      </c>
      <c r="E149" s="272">
        <v>134</v>
      </c>
      <c r="F149" s="124" t="s">
        <v>110</v>
      </c>
      <c r="G149" s="162">
        <v>2721</v>
      </c>
      <c r="H149" s="310">
        <v>614232</v>
      </c>
      <c r="I149" s="282" t="s">
        <v>691</v>
      </c>
      <c r="J149" s="275">
        <v>294288631</v>
      </c>
      <c r="K149" s="275">
        <v>75591160.180000007</v>
      </c>
      <c r="L149" s="275">
        <v>72967631.299999997</v>
      </c>
      <c r="M149" s="207">
        <f t="shared" si="4"/>
        <v>0.25686061987219616</v>
      </c>
      <c r="N149" s="207">
        <f t="shared" si="5"/>
        <v>1.0359546943385569</v>
      </c>
    </row>
    <row r="150" spans="1:14" s="130" customFormat="1" ht="15" customHeight="1">
      <c r="A150" s="220" t="s">
        <v>798</v>
      </c>
      <c r="B150" s="220" t="s">
        <v>798</v>
      </c>
      <c r="C150" s="258" t="s">
        <v>627</v>
      </c>
      <c r="D150" s="258" t="s">
        <v>627</v>
      </c>
      <c r="E150" s="272">
        <v>135</v>
      </c>
      <c r="F150" s="124" t="s">
        <v>110</v>
      </c>
      <c r="G150" s="162">
        <v>2721</v>
      </c>
      <c r="H150" s="310" t="s">
        <v>128</v>
      </c>
      <c r="I150" s="280" t="s">
        <v>692</v>
      </c>
      <c r="J150" s="275">
        <v>42209469</v>
      </c>
      <c r="K150" s="275">
        <v>119819.65</v>
      </c>
      <c r="L150" s="275">
        <v>399567.92</v>
      </c>
      <c r="M150" s="207">
        <f t="shared" si="4"/>
        <v>2.8386912424792645E-3</v>
      </c>
      <c r="N150" s="207">
        <f t="shared" si="5"/>
        <v>0.2998730478663052</v>
      </c>
    </row>
    <row r="151" spans="1:14" s="130" customFormat="1" ht="14.25" customHeight="1">
      <c r="A151" s="220" t="s">
        <v>798</v>
      </c>
      <c r="B151" s="220" t="s">
        <v>798</v>
      </c>
      <c r="C151" s="258" t="s">
        <v>627</v>
      </c>
      <c r="D151" s="258" t="s">
        <v>954</v>
      </c>
      <c r="E151" s="272">
        <v>136</v>
      </c>
      <c r="F151" s="124" t="s">
        <v>129</v>
      </c>
      <c r="G151" s="124">
        <v>2821</v>
      </c>
      <c r="H151" s="310">
        <v>614234</v>
      </c>
      <c r="I151" s="280" t="s">
        <v>693</v>
      </c>
      <c r="J151" s="275">
        <v>15453600</v>
      </c>
      <c r="K151" s="275">
        <v>4747425.1900000004</v>
      </c>
      <c r="L151" s="275">
        <v>4338421.01</v>
      </c>
      <c r="M151" s="207">
        <f t="shared" si="4"/>
        <v>0.30720512954910184</v>
      </c>
      <c r="N151" s="207">
        <f t="shared" si="5"/>
        <v>1.0942748938052005</v>
      </c>
    </row>
    <row r="152" spans="1:14" s="130" customFormat="1" ht="15">
      <c r="A152" s="220" t="s">
        <v>798</v>
      </c>
      <c r="B152" s="220" t="s">
        <v>798</v>
      </c>
      <c r="C152" s="258" t="s">
        <v>627</v>
      </c>
      <c r="D152" s="258" t="s">
        <v>627</v>
      </c>
      <c r="E152" s="272">
        <v>137</v>
      </c>
      <c r="F152" s="124" t="s">
        <v>110</v>
      </c>
      <c r="G152" s="162">
        <v>2721</v>
      </c>
      <c r="H152" s="310">
        <v>614235</v>
      </c>
      <c r="I152" s="296" t="s">
        <v>765</v>
      </c>
      <c r="J152" s="275">
        <v>54700764</v>
      </c>
      <c r="K152" s="275">
        <v>56200104.030000001</v>
      </c>
      <c r="L152" s="275">
        <v>27238433.66</v>
      </c>
      <c r="M152" s="207">
        <f t="shared" si="4"/>
        <v>1.027409855372404</v>
      </c>
      <c r="N152" s="207">
        <f t="shared" si="5"/>
        <v>2.0632648973692858</v>
      </c>
    </row>
    <row r="153" spans="1:14" s="130" customFormat="1" ht="28.5" customHeight="1">
      <c r="A153" s="220"/>
      <c r="B153" s="220"/>
      <c r="C153" s="258" t="s">
        <v>627</v>
      </c>
      <c r="D153" s="258" t="s">
        <v>472</v>
      </c>
      <c r="E153" s="272">
        <v>138</v>
      </c>
      <c r="F153" s="124" t="s">
        <v>130</v>
      </c>
      <c r="G153" s="124">
        <v>2822</v>
      </c>
      <c r="H153" s="310">
        <v>614241</v>
      </c>
      <c r="I153" s="280" t="s">
        <v>766</v>
      </c>
      <c r="J153" s="275">
        <v>17453782</v>
      </c>
      <c r="K153" s="275">
        <v>424206.53</v>
      </c>
      <c r="L153" s="275">
        <v>509364.81</v>
      </c>
      <c r="M153" s="207">
        <f t="shared" si="4"/>
        <v>2.4304562186006452E-2</v>
      </c>
      <c r="N153" s="207">
        <f t="shared" si="5"/>
        <v>0.83281475608807765</v>
      </c>
    </row>
    <row r="154" spans="1:14" s="130" customFormat="1" ht="18" customHeight="1">
      <c r="A154" s="220" t="s">
        <v>798</v>
      </c>
      <c r="B154" s="220" t="s">
        <v>798</v>
      </c>
      <c r="C154" s="258" t="s">
        <v>627</v>
      </c>
      <c r="D154" s="258" t="s">
        <v>625</v>
      </c>
      <c r="E154" s="272">
        <v>139</v>
      </c>
      <c r="F154" s="124" t="s">
        <v>110</v>
      </c>
      <c r="G154" s="124">
        <v>2721</v>
      </c>
      <c r="H154" s="310">
        <v>614242</v>
      </c>
      <c r="I154" s="280" t="s">
        <v>767</v>
      </c>
      <c r="J154" s="275">
        <v>245280960</v>
      </c>
      <c r="K154" s="275">
        <v>64911520.480000004</v>
      </c>
      <c r="L154" s="275">
        <v>35118828.609999999</v>
      </c>
      <c r="M154" s="207">
        <f t="shared" si="4"/>
        <v>0.26464149716309004</v>
      </c>
      <c r="N154" s="207">
        <f t="shared" si="5"/>
        <v>1.8483395673828542</v>
      </c>
    </row>
    <row r="155" spans="1:14" s="130" customFormat="1" ht="15.75" customHeight="1">
      <c r="A155" s="220" t="s">
        <v>798</v>
      </c>
      <c r="B155" s="220" t="s">
        <v>798</v>
      </c>
      <c r="C155" s="258" t="s">
        <v>627</v>
      </c>
      <c r="D155" s="258" t="s">
        <v>627</v>
      </c>
      <c r="E155" s="272">
        <v>140</v>
      </c>
      <c r="F155" s="124" t="s">
        <v>110</v>
      </c>
      <c r="G155" s="124">
        <v>2721</v>
      </c>
      <c r="H155" s="310">
        <v>614243</v>
      </c>
      <c r="I155" s="280" t="s">
        <v>768</v>
      </c>
      <c r="J155" s="275">
        <v>10007000</v>
      </c>
      <c r="K155" s="275">
        <v>3762125.8099999996</v>
      </c>
      <c r="L155" s="275">
        <v>2803526.16</v>
      </c>
      <c r="M155" s="207">
        <f t="shared" si="4"/>
        <v>0.37594941640851398</v>
      </c>
      <c r="N155" s="207">
        <f t="shared" si="5"/>
        <v>1.3419264152684058</v>
      </c>
    </row>
    <row r="156" spans="1:14" s="130" customFormat="1" ht="23.25" customHeight="1">
      <c r="A156" s="220" t="s">
        <v>798</v>
      </c>
      <c r="B156" s="220" t="s">
        <v>798</v>
      </c>
      <c r="C156" s="258" t="s">
        <v>627</v>
      </c>
      <c r="D156" s="258" t="s">
        <v>404</v>
      </c>
      <c r="E156" s="272">
        <v>141</v>
      </c>
      <c r="F156" s="124" t="s">
        <v>131</v>
      </c>
      <c r="G156" s="124">
        <v>2712</v>
      </c>
      <c r="H156" s="310">
        <v>614250</v>
      </c>
      <c r="I156" s="280" t="s">
        <v>132</v>
      </c>
      <c r="J156" s="275">
        <v>66896819</v>
      </c>
      <c r="K156" s="275">
        <v>16724451.35</v>
      </c>
      <c r="L156" s="275">
        <v>14691883.620000001</v>
      </c>
      <c r="M156" s="207">
        <f t="shared" si="4"/>
        <v>0.25000368627393177</v>
      </c>
      <c r="N156" s="207">
        <f t="shared" si="5"/>
        <v>1.1383462993971087</v>
      </c>
    </row>
    <row r="157" spans="1:14" s="130" customFormat="1" ht="15" customHeight="1">
      <c r="A157" s="220"/>
      <c r="B157" s="220" t="s">
        <v>797</v>
      </c>
      <c r="C157" s="258"/>
      <c r="D157" s="258" t="s">
        <v>954</v>
      </c>
      <c r="E157" s="272">
        <v>142</v>
      </c>
      <c r="F157" s="124" t="s">
        <v>129</v>
      </c>
      <c r="G157" s="163">
        <v>2821</v>
      </c>
      <c r="H157" s="206">
        <v>614300</v>
      </c>
      <c r="I157" s="283" t="s">
        <v>133</v>
      </c>
      <c r="J157" s="275">
        <v>299871330</v>
      </c>
      <c r="K157" s="275">
        <v>41257769.689999998</v>
      </c>
      <c r="L157" s="275">
        <v>38227937.969999999</v>
      </c>
      <c r="M157" s="207">
        <f t="shared" si="4"/>
        <v>0.13758490913419433</v>
      </c>
      <c r="N157" s="207">
        <f t="shared" si="5"/>
        <v>1.0792570010545091</v>
      </c>
    </row>
    <row r="158" spans="1:14" s="130" customFormat="1" ht="15" customHeight="1">
      <c r="A158" s="220"/>
      <c r="B158" s="220" t="s">
        <v>801</v>
      </c>
      <c r="C158" s="258"/>
      <c r="D158" s="258" t="s">
        <v>652</v>
      </c>
      <c r="E158" s="272">
        <v>143</v>
      </c>
      <c r="F158" s="124" t="s">
        <v>118</v>
      </c>
      <c r="G158" s="163">
        <v>2631</v>
      </c>
      <c r="H158" s="206">
        <v>614400</v>
      </c>
      <c r="I158" s="283" t="s">
        <v>134</v>
      </c>
      <c r="J158" s="275">
        <v>300791188</v>
      </c>
      <c r="K158" s="275">
        <v>42014549.799999997</v>
      </c>
      <c r="L158" s="275">
        <v>33954750.730000004</v>
      </c>
      <c r="M158" s="207">
        <f t="shared" si="4"/>
        <v>0.13968012187910239</v>
      </c>
      <c r="N158" s="207">
        <f t="shared" si="5"/>
        <v>1.2373688186990259</v>
      </c>
    </row>
    <row r="159" spans="1:14" s="130" customFormat="1" ht="15" customHeight="1">
      <c r="A159" s="220"/>
      <c r="B159" s="220" t="s">
        <v>801</v>
      </c>
      <c r="C159" s="258"/>
      <c r="D159" s="258" t="s">
        <v>652</v>
      </c>
      <c r="E159" s="272">
        <v>144</v>
      </c>
      <c r="F159" s="124" t="s">
        <v>135</v>
      </c>
      <c r="G159" s="163">
        <v>252</v>
      </c>
      <c r="H159" s="206">
        <v>614500</v>
      </c>
      <c r="I159" s="283" t="s">
        <v>136</v>
      </c>
      <c r="J159" s="275">
        <v>437908733</v>
      </c>
      <c r="K159" s="275">
        <v>16195154.799999999</v>
      </c>
      <c r="L159" s="275">
        <v>13671697.32</v>
      </c>
      <c r="M159" s="207">
        <f t="shared" si="4"/>
        <v>3.6982945485126921E-2</v>
      </c>
      <c r="N159" s="207">
        <f t="shared" si="5"/>
        <v>1.1845752887103851</v>
      </c>
    </row>
    <row r="160" spans="1:14" s="130" customFormat="1" ht="15" customHeight="1">
      <c r="A160" s="220"/>
      <c r="B160" s="220" t="s">
        <v>801</v>
      </c>
      <c r="C160" s="258"/>
      <c r="D160" s="258" t="s">
        <v>652</v>
      </c>
      <c r="E160" s="272">
        <v>145</v>
      </c>
      <c r="F160" s="124" t="s">
        <v>135</v>
      </c>
      <c r="G160" s="163">
        <v>252</v>
      </c>
      <c r="H160" s="206">
        <v>614600</v>
      </c>
      <c r="I160" s="283" t="s">
        <v>137</v>
      </c>
      <c r="J160" s="275">
        <v>8400</v>
      </c>
      <c r="K160" s="275">
        <v>0</v>
      </c>
      <c r="L160" s="275">
        <v>0</v>
      </c>
      <c r="M160" s="207">
        <f t="shared" si="4"/>
        <v>0</v>
      </c>
      <c r="N160" s="207" t="str">
        <f t="shared" si="5"/>
        <v/>
      </c>
    </row>
    <row r="161" spans="1:16" s="130" customFormat="1" ht="15" customHeight="1">
      <c r="A161" s="220"/>
      <c r="B161" s="220" t="s">
        <v>797</v>
      </c>
      <c r="C161" s="258"/>
      <c r="D161" s="258" t="s">
        <v>628</v>
      </c>
      <c r="E161" s="272">
        <v>146</v>
      </c>
      <c r="F161" s="126" t="s">
        <v>138</v>
      </c>
      <c r="G161" s="178">
        <v>2611</v>
      </c>
      <c r="H161" s="303">
        <v>614700</v>
      </c>
      <c r="I161" s="304" t="s">
        <v>139</v>
      </c>
      <c r="J161" s="275">
        <v>1055700</v>
      </c>
      <c r="K161" s="275">
        <v>40117</v>
      </c>
      <c r="L161" s="275">
        <v>850823</v>
      </c>
      <c r="M161" s="207">
        <f t="shared" si="4"/>
        <v>3.8000378895519563E-2</v>
      </c>
      <c r="N161" s="207">
        <f t="shared" si="5"/>
        <v>4.7150817502582792E-2</v>
      </c>
    </row>
    <row r="162" spans="1:16" s="130" customFormat="1" ht="15" customHeight="1">
      <c r="A162" s="220"/>
      <c r="B162" s="220" t="s">
        <v>797</v>
      </c>
      <c r="C162" s="258"/>
      <c r="D162" s="258" t="s">
        <v>954</v>
      </c>
      <c r="E162" s="272">
        <v>147</v>
      </c>
      <c r="F162" s="124" t="s">
        <v>140</v>
      </c>
      <c r="G162" s="163">
        <v>2821</v>
      </c>
      <c r="H162" s="206">
        <v>614800</v>
      </c>
      <c r="I162" s="283" t="s">
        <v>141</v>
      </c>
      <c r="J162" s="275">
        <v>80427545</v>
      </c>
      <c r="K162" s="275">
        <v>21152093.559999999</v>
      </c>
      <c r="L162" s="275">
        <v>5820623.9900000002</v>
      </c>
      <c r="M162" s="207">
        <f t="shared" si="4"/>
        <v>0.26299563862107189</v>
      </c>
      <c r="N162" s="207">
        <f t="shared" si="5"/>
        <v>3.6339907192665089</v>
      </c>
    </row>
    <row r="163" spans="1:16" s="179" customFormat="1" ht="25.5" customHeight="1">
      <c r="A163" s="222"/>
      <c r="B163" s="222"/>
      <c r="C163" s="258"/>
      <c r="D163" s="258"/>
      <c r="E163" s="272">
        <v>148</v>
      </c>
      <c r="F163" s="124"/>
      <c r="G163" s="123"/>
      <c r="H163" s="144">
        <v>615000</v>
      </c>
      <c r="I163" s="157" t="s">
        <v>142</v>
      </c>
      <c r="J163" s="288">
        <v>714121177.03999996</v>
      </c>
      <c r="K163" s="288">
        <v>12559577.740000002</v>
      </c>
      <c r="L163" s="288">
        <v>7393823.0600000005</v>
      </c>
      <c r="M163" s="207">
        <f t="shared" si="4"/>
        <v>1.7587460145151956E-2</v>
      </c>
      <c r="N163" s="207">
        <f t="shared" si="5"/>
        <v>1.6986581418138509</v>
      </c>
      <c r="O163" s="339"/>
    </row>
    <row r="164" spans="1:16" s="130" customFormat="1" ht="30" customHeight="1">
      <c r="A164" s="220"/>
      <c r="B164" s="220" t="s">
        <v>797</v>
      </c>
      <c r="C164" s="258"/>
      <c r="D164" s="258" t="s">
        <v>454</v>
      </c>
      <c r="E164" s="272">
        <v>149</v>
      </c>
      <c r="F164" s="124" t="s">
        <v>144</v>
      </c>
      <c r="G164" s="162">
        <v>2632</v>
      </c>
      <c r="H164" s="182">
        <v>615100</v>
      </c>
      <c r="I164" s="333" t="s">
        <v>925</v>
      </c>
      <c r="J164" s="276">
        <v>345286564.53999996</v>
      </c>
      <c r="K164" s="276">
        <v>351370.00000000186</v>
      </c>
      <c r="L164" s="276">
        <v>335936</v>
      </c>
      <c r="M164" s="207">
        <f t="shared" si="4"/>
        <v>1.017618511939804E-3</v>
      </c>
      <c r="N164" s="207">
        <f t="shared" si="5"/>
        <v>1.0459432749095121</v>
      </c>
    </row>
    <row r="165" spans="1:16" s="130" customFormat="1" ht="17.25" customHeight="1">
      <c r="A165" s="220"/>
      <c r="B165" s="220"/>
      <c r="C165" s="258"/>
      <c r="D165" s="258"/>
      <c r="E165" s="272">
        <v>150</v>
      </c>
      <c r="F165" s="124" t="s">
        <v>144</v>
      </c>
      <c r="G165" s="124">
        <v>2632</v>
      </c>
      <c r="H165" s="182">
        <v>615100</v>
      </c>
      <c r="I165" s="183" t="s">
        <v>143</v>
      </c>
      <c r="J165" s="315">
        <v>345286564.53999996</v>
      </c>
      <c r="K165" s="315">
        <v>351370.00000000186</v>
      </c>
      <c r="L165" s="315">
        <v>335936</v>
      </c>
      <c r="M165" s="207">
        <f t="shared" si="4"/>
        <v>1.017618511939804E-3</v>
      </c>
      <c r="N165" s="207">
        <f t="shared" si="5"/>
        <v>1.0459432749095121</v>
      </c>
      <c r="O165" s="359"/>
      <c r="P165" s="359"/>
    </row>
    <row r="166" spans="1:16" s="130" customFormat="1" ht="13.5" customHeight="1">
      <c r="A166" s="220" t="s">
        <v>797</v>
      </c>
      <c r="B166" s="220" t="s">
        <v>797</v>
      </c>
      <c r="C166" s="258" t="s">
        <v>454</v>
      </c>
      <c r="D166" s="258" t="s">
        <v>434</v>
      </c>
      <c r="E166" s="272">
        <v>151</v>
      </c>
      <c r="F166" s="124" t="s">
        <v>144</v>
      </c>
      <c r="G166" s="162">
        <v>2632</v>
      </c>
      <c r="H166" s="293">
        <v>615111</v>
      </c>
      <c r="I166" s="280" t="s">
        <v>769</v>
      </c>
      <c r="J166" s="315">
        <v>3545550</v>
      </c>
      <c r="K166" s="315">
        <v>351370</v>
      </c>
      <c r="L166" s="315">
        <v>335936</v>
      </c>
      <c r="M166" s="207">
        <f t="shared" si="4"/>
        <v>9.9101690851912963E-2</v>
      </c>
      <c r="N166" s="207">
        <f t="shared" si="5"/>
        <v>1.0459432749095066</v>
      </c>
    </row>
    <row r="167" spans="1:16" s="130" customFormat="1" ht="13.5" customHeight="1">
      <c r="A167" s="220" t="s">
        <v>797</v>
      </c>
      <c r="B167" s="220" t="s">
        <v>797</v>
      </c>
      <c r="C167" s="258" t="s">
        <v>454</v>
      </c>
      <c r="D167" s="258" t="s">
        <v>435</v>
      </c>
      <c r="E167" s="272">
        <v>152</v>
      </c>
      <c r="F167" s="124" t="s">
        <v>144</v>
      </c>
      <c r="G167" s="162">
        <v>2632</v>
      </c>
      <c r="H167" s="293">
        <v>615112</v>
      </c>
      <c r="I167" s="280" t="s">
        <v>770</v>
      </c>
      <c r="J167" s="275">
        <v>167100</v>
      </c>
      <c r="K167" s="275"/>
      <c r="L167" s="275"/>
      <c r="M167" s="207">
        <f t="shared" si="4"/>
        <v>0</v>
      </c>
      <c r="N167" s="207" t="str">
        <f t="shared" si="5"/>
        <v/>
      </c>
    </row>
    <row r="168" spans="1:16" s="130" customFormat="1" ht="15.75" customHeight="1">
      <c r="A168" s="220" t="s">
        <v>797</v>
      </c>
      <c r="B168" s="220" t="s">
        <v>797</v>
      </c>
      <c r="C168" s="258" t="s">
        <v>454</v>
      </c>
      <c r="D168" s="258" t="s">
        <v>436</v>
      </c>
      <c r="E168" s="272">
        <v>153</v>
      </c>
      <c r="F168" s="124" t="s">
        <v>144</v>
      </c>
      <c r="G168" s="162">
        <v>2632</v>
      </c>
      <c r="H168" s="293">
        <v>615113</v>
      </c>
      <c r="I168" s="280" t="s">
        <v>771</v>
      </c>
      <c r="J168" s="275">
        <v>25000</v>
      </c>
      <c r="K168" s="275">
        <v>0</v>
      </c>
      <c r="L168" s="275">
        <v>0</v>
      </c>
      <c r="M168" s="207">
        <f t="shared" si="4"/>
        <v>0</v>
      </c>
      <c r="N168" s="207" t="str">
        <f t="shared" si="5"/>
        <v/>
      </c>
    </row>
    <row r="169" spans="1:16" s="130" customFormat="1" ht="15" customHeight="1">
      <c r="A169" s="220" t="s">
        <v>797</v>
      </c>
      <c r="B169" s="220" t="s">
        <v>797</v>
      </c>
      <c r="C169" s="258" t="s">
        <v>454</v>
      </c>
      <c r="D169" s="258" t="s">
        <v>438</v>
      </c>
      <c r="E169" s="272">
        <v>154</v>
      </c>
      <c r="F169" s="124" t="s">
        <v>144</v>
      </c>
      <c r="G169" s="162">
        <v>2632</v>
      </c>
      <c r="H169" s="293">
        <v>615114</v>
      </c>
      <c r="I169" s="280" t="s">
        <v>772</v>
      </c>
      <c r="J169" s="275">
        <v>5072665.9700000007</v>
      </c>
      <c r="K169" s="275"/>
      <c r="L169" s="275"/>
      <c r="M169" s="207">
        <f t="shared" si="4"/>
        <v>0</v>
      </c>
      <c r="N169" s="207" t="str">
        <f t="shared" si="5"/>
        <v/>
      </c>
    </row>
    <row r="170" spans="1:16" s="130" customFormat="1" ht="15" customHeight="1">
      <c r="A170" s="220" t="s">
        <v>797</v>
      </c>
      <c r="B170" s="220" t="s">
        <v>797</v>
      </c>
      <c r="C170" s="258" t="s">
        <v>454</v>
      </c>
      <c r="D170" s="258" t="s">
        <v>445</v>
      </c>
      <c r="E170" s="272">
        <v>155</v>
      </c>
      <c r="F170" s="124" t="s">
        <v>144</v>
      </c>
      <c r="G170" s="162">
        <v>2632</v>
      </c>
      <c r="H170" s="293">
        <v>615115</v>
      </c>
      <c r="I170" s="280" t="s">
        <v>773</v>
      </c>
      <c r="J170" s="275">
        <v>6652741</v>
      </c>
      <c r="K170" s="275"/>
      <c r="L170" s="275"/>
      <c r="M170" s="207">
        <f t="shared" si="4"/>
        <v>0</v>
      </c>
      <c r="N170" s="207" t="str">
        <f t="shared" si="5"/>
        <v/>
      </c>
    </row>
    <row r="171" spans="1:16" s="130" customFormat="1" ht="15.75" customHeight="1">
      <c r="A171" s="220" t="s">
        <v>797</v>
      </c>
      <c r="B171" s="220" t="s">
        <v>797</v>
      </c>
      <c r="C171" s="258" t="s">
        <v>454</v>
      </c>
      <c r="D171" s="258" t="s">
        <v>445</v>
      </c>
      <c r="E171" s="272">
        <v>156</v>
      </c>
      <c r="F171" s="124" t="s">
        <v>144</v>
      </c>
      <c r="G171" s="162">
        <v>2632</v>
      </c>
      <c r="H171" s="293">
        <v>615116</v>
      </c>
      <c r="I171" s="280" t="s">
        <v>774</v>
      </c>
      <c r="J171" s="275">
        <v>62716612.009999998</v>
      </c>
      <c r="K171" s="275"/>
      <c r="L171" s="275"/>
      <c r="M171" s="207">
        <f t="shared" si="4"/>
        <v>0</v>
      </c>
      <c r="N171" s="207" t="str">
        <f t="shared" si="5"/>
        <v/>
      </c>
    </row>
    <row r="172" spans="1:16" s="130" customFormat="1" ht="26.25" customHeight="1">
      <c r="A172" s="220" t="s">
        <v>797</v>
      </c>
      <c r="B172" s="220" t="s">
        <v>797</v>
      </c>
      <c r="C172" s="258" t="s">
        <v>454</v>
      </c>
      <c r="D172" s="258" t="s">
        <v>448</v>
      </c>
      <c r="E172" s="272">
        <v>157</v>
      </c>
      <c r="F172" s="124" t="s">
        <v>144</v>
      </c>
      <c r="G172" s="162">
        <v>2632</v>
      </c>
      <c r="H172" s="293">
        <v>615122</v>
      </c>
      <c r="I172" s="208" t="s">
        <v>775</v>
      </c>
      <c r="J172" s="275">
        <v>0</v>
      </c>
      <c r="K172" s="275"/>
      <c r="L172" s="275"/>
      <c r="M172" s="207" t="str">
        <f t="shared" si="4"/>
        <v/>
      </c>
      <c r="N172" s="207"/>
    </row>
    <row r="173" spans="1:16" s="130" customFormat="1" ht="27.75" customHeight="1">
      <c r="A173" s="220" t="s">
        <v>797</v>
      </c>
      <c r="B173" s="220" t="s">
        <v>797</v>
      </c>
      <c r="C173" s="258" t="s">
        <v>454</v>
      </c>
      <c r="D173" s="258" t="s">
        <v>448</v>
      </c>
      <c r="E173" s="272">
        <v>158</v>
      </c>
      <c r="F173" s="124" t="s">
        <v>144</v>
      </c>
      <c r="G173" s="162">
        <v>2632</v>
      </c>
      <c r="H173" s="293">
        <v>615123</v>
      </c>
      <c r="I173" s="208" t="s">
        <v>145</v>
      </c>
      <c r="J173" s="275">
        <v>0</v>
      </c>
      <c r="K173" s="275"/>
      <c r="L173" s="275"/>
      <c r="M173" s="207" t="str">
        <f t="shared" si="4"/>
        <v/>
      </c>
      <c r="N173" s="207"/>
    </row>
    <row r="174" spans="1:16" s="130" customFormat="1" ht="14.25" customHeight="1">
      <c r="A174" s="220" t="s">
        <v>797</v>
      </c>
      <c r="B174" s="220" t="s">
        <v>797</v>
      </c>
      <c r="C174" s="258" t="s">
        <v>454</v>
      </c>
      <c r="D174" s="258" t="s">
        <v>454</v>
      </c>
      <c r="E174" s="272">
        <v>159</v>
      </c>
      <c r="F174" s="124" t="s">
        <v>144</v>
      </c>
      <c r="G174" s="162">
        <v>2632</v>
      </c>
      <c r="H174" s="293">
        <v>615130</v>
      </c>
      <c r="I174" s="305" t="s">
        <v>146</v>
      </c>
      <c r="J174" s="275">
        <v>110000</v>
      </c>
      <c r="K174" s="275"/>
      <c r="L174" s="275"/>
      <c r="M174" s="207">
        <f t="shared" si="4"/>
        <v>0</v>
      </c>
      <c r="N174" s="207" t="str">
        <f t="shared" si="5"/>
        <v/>
      </c>
    </row>
    <row r="175" spans="1:16" s="130" customFormat="1" ht="13.5" customHeight="1">
      <c r="A175" s="220"/>
      <c r="B175" s="220" t="s">
        <v>797</v>
      </c>
      <c r="C175" s="258"/>
      <c r="D175" s="258" t="s">
        <v>466</v>
      </c>
      <c r="E175" s="272">
        <v>160</v>
      </c>
      <c r="F175" s="124" t="s">
        <v>130</v>
      </c>
      <c r="G175" s="162">
        <v>2822</v>
      </c>
      <c r="H175" s="182">
        <v>615200</v>
      </c>
      <c r="I175" s="183" t="s">
        <v>147</v>
      </c>
      <c r="J175" s="275">
        <v>24677843.990000002</v>
      </c>
      <c r="K175" s="275">
        <v>1335024.83</v>
      </c>
      <c r="L175" s="275">
        <v>870054.31</v>
      </c>
      <c r="M175" s="207">
        <f t="shared" si="4"/>
        <v>5.409811450874643E-2</v>
      </c>
      <c r="N175" s="207">
        <f t="shared" si="5"/>
        <v>1.5344155125212815</v>
      </c>
    </row>
    <row r="176" spans="1:16" s="130" customFormat="1" ht="13.5" customHeight="1">
      <c r="A176" s="220"/>
      <c r="B176" s="220" t="s">
        <v>797</v>
      </c>
      <c r="C176" s="258"/>
      <c r="D176" s="258" t="s">
        <v>466</v>
      </c>
      <c r="E176" s="272">
        <v>161</v>
      </c>
      <c r="F176" s="124" t="s">
        <v>130</v>
      </c>
      <c r="G176" s="162">
        <v>2822</v>
      </c>
      <c r="H176" s="182">
        <v>615300</v>
      </c>
      <c r="I176" s="183" t="s">
        <v>148</v>
      </c>
      <c r="J176" s="275">
        <v>76503445.50999999</v>
      </c>
      <c r="K176" s="275">
        <v>8545204.4100000001</v>
      </c>
      <c r="L176" s="275">
        <v>3408042.75</v>
      </c>
      <c r="M176" s="207">
        <f t="shared" si="4"/>
        <v>0.11169698767205238</v>
      </c>
      <c r="N176" s="207">
        <f t="shared" si="5"/>
        <v>2.5073642077993301</v>
      </c>
    </row>
    <row r="177" spans="1:14" s="130" customFormat="1" ht="13.5" customHeight="1">
      <c r="A177" s="220"/>
      <c r="B177" s="220" t="s">
        <v>797</v>
      </c>
      <c r="C177" s="258"/>
      <c r="D177" s="258" t="s">
        <v>466</v>
      </c>
      <c r="E177" s="272">
        <v>162</v>
      </c>
      <c r="F177" s="124" t="s">
        <v>130</v>
      </c>
      <c r="G177" s="162">
        <v>2822</v>
      </c>
      <c r="H177" s="206">
        <v>615400</v>
      </c>
      <c r="I177" s="283" t="s">
        <v>149</v>
      </c>
      <c r="J177" s="275">
        <v>244750841</v>
      </c>
      <c r="K177" s="275">
        <v>2262978.5</v>
      </c>
      <c r="L177" s="275">
        <v>2739240</v>
      </c>
      <c r="M177" s="207">
        <f t="shared" si="4"/>
        <v>9.2460499451358369E-3</v>
      </c>
      <c r="N177" s="207">
        <f t="shared" si="5"/>
        <v>0.8261337086199092</v>
      </c>
    </row>
    <row r="178" spans="1:14" s="130" customFormat="1" ht="21.75" customHeight="1">
      <c r="A178" s="220"/>
      <c r="B178" s="220" t="s">
        <v>797</v>
      </c>
      <c r="C178" s="258"/>
      <c r="D178" s="258" t="s">
        <v>466</v>
      </c>
      <c r="E178" s="272">
        <v>163</v>
      </c>
      <c r="F178" s="124" t="s">
        <v>130</v>
      </c>
      <c r="G178" s="162">
        <v>2822</v>
      </c>
      <c r="H178" s="303">
        <v>615500</v>
      </c>
      <c r="I178" s="283" t="s">
        <v>150</v>
      </c>
      <c r="J178" s="275">
        <v>12477411</v>
      </c>
      <c r="K178" s="275">
        <v>5000</v>
      </c>
      <c r="L178" s="275">
        <v>32250</v>
      </c>
      <c r="M178" s="207">
        <f t="shared" si="4"/>
        <v>4.0072415663794354E-4</v>
      </c>
      <c r="N178" s="207">
        <f t="shared" si="5"/>
        <v>0.15503875968992248</v>
      </c>
    </row>
    <row r="179" spans="1:14" s="130" customFormat="1" ht="13.5" customHeight="1">
      <c r="A179" s="220"/>
      <c r="B179" s="220" t="s">
        <v>797</v>
      </c>
      <c r="C179" s="258"/>
      <c r="D179" s="258" t="s">
        <v>466</v>
      </c>
      <c r="E179" s="272">
        <v>164</v>
      </c>
      <c r="F179" s="124" t="s">
        <v>130</v>
      </c>
      <c r="G179" s="162">
        <v>2822</v>
      </c>
      <c r="H179" s="303">
        <v>615600</v>
      </c>
      <c r="I179" s="283" t="s">
        <v>151</v>
      </c>
      <c r="J179" s="275">
        <v>10000000</v>
      </c>
      <c r="K179" s="275">
        <v>0</v>
      </c>
      <c r="L179" s="275">
        <v>0</v>
      </c>
      <c r="M179" s="207">
        <f t="shared" si="4"/>
        <v>0</v>
      </c>
      <c r="N179" s="207" t="str">
        <f t="shared" si="5"/>
        <v/>
      </c>
    </row>
    <row r="180" spans="1:14" s="130" customFormat="1" ht="13.5" customHeight="1">
      <c r="A180" s="220"/>
      <c r="B180" s="220" t="s">
        <v>797</v>
      </c>
      <c r="C180" s="258"/>
      <c r="D180" s="258" t="s">
        <v>628</v>
      </c>
      <c r="E180" s="272">
        <v>165</v>
      </c>
      <c r="F180" s="124" t="s">
        <v>152</v>
      </c>
      <c r="G180" s="162">
        <v>2612</v>
      </c>
      <c r="H180" s="303">
        <v>615700</v>
      </c>
      <c r="I180" s="283" t="s">
        <v>153</v>
      </c>
      <c r="J180" s="275">
        <v>425071</v>
      </c>
      <c r="K180" s="275">
        <v>60000</v>
      </c>
      <c r="L180" s="275">
        <v>8300</v>
      </c>
      <c r="M180" s="207">
        <f t="shared" si="4"/>
        <v>0.14115288975253545</v>
      </c>
      <c r="N180" s="207">
        <f t="shared" si="5"/>
        <v>7.2289156626506026</v>
      </c>
    </row>
    <row r="181" spans="1:14" s="130" customFormat="1" ht="13.5" customHeight="1">
      <c r="A181" s="220"/>
      <c r="B181" s="220"/>
      <c r="C181" s="258"/>
      <c r="D181" s="258"/>
      <c r="E181" s="272">
        <v>166</v>
      </c>
      <c r="F181" s="124" t="s">
        <v>115</v>
      </c>
      <c r="G181" s="163">
        <v>24</v>
      </c>
      <c r="H181" s="172">
        <v>616000</v>
      </c>
      <c r="I181" s="201" t="s">
        <v>154</v>
      </c>
      <c r="J181" s="205">
        <v>255394741.41</v>
      </c>
      <c r="K181" s="205">
        <v>60785058.419999994</v>
      </c>
      <c r="L181" s="205">
        <v>41134102.75</v>
      </c>
      <c r="M181" s="207">
        <f t="shared" si="4"/>
        <v>0.23800434607390061</v>
      </c>
      <c r="N181" s="207">
        <f t="shared" si="5"/>
        <v>1.477729046125845</v>
      </c>
    </row>
    <row r="182" spans="1:14" s="130" customFormat="1" ht="13.5" customHeight="1">
      <c r="A182" s="220"/>
      <c r="B182" s="220" t="s">
        <v>799</v>
      </c>
      <c r="C182" s="258"/>
      <c r="D182" s="258">
        <v>241</v>
      </c>
      <c r="E182" s="272">
        <v>167</v>
      </c>
      <c r="F182" s="124" t="s">
        <v>724</v>
      </c>
      <c r="G182" s="171">
        <v>243</v>
      </c>
      <c r="H182" s="206">
        <v>616100</v>
      </c>
      <c r="I182" s="283" t="s">
        <v>155</v>
      </c>
      <c r="J182" s="275">
        <v>200316796</v>
      </c>
      <c r="K182" s="275">
        <v>53983939.149999999</v>
      </c>
      <c r="L182" s="275">
        <v>35914691.380000003</v>
      </c>
      <c r="M182" s="207">
        <f t="shared" si="4"/>
        <v>0.26949282450583922</v>
      </c>
      <c r="N182" s="207">
        <f t="shared" si="5"/>
        <v>1.5031157745117729</v>
      </c>
    </row>
    <row r="183" spans="1:14" s="130" customFormat="1" ht="13.5" customHeight="1">
      <c r="A183" s="220"/>
      <c r="B183" s="220" t="s">
        <v>799</v>
      </c>
      <c r="C183" s="258"/>
      <c r="D183" s="258">
        <v>241</v>
      </c>
      <c r="E183" s="272">
        <v>168</v>
      </c>
      <c r="F183" s="124" t="s">
        <v>115</v>
      </c>
      <c r="G183" s="171">
        <v>241</v>
      </c>
      <c r="H183" s="182">
        <v>616200</v>
      </c>
      <c r="I183" s="183" t="s">
        <v>156</v>
      </c>
      <c r="J183" s="275">
        <v>5736095</v>
      </c>
      <c r="K183" s="275">
        <v>2010182.12</v>
      </c>
      <c r="L183" s="275">
        <v>2172437.89</v>
      </c>
      <c r="M183" s="207">
        <f t="shared" si="4"/>
        <v>0.35044435630860371</v>
      </c>
      <c r="N183" s="207">
        <f t="shared" si="5"/>
        <v>0.92531166449136093</v>
      </c>
    </row>
    <row r="184" spans="1:14" s="130" customFormat="1" ht="13.5" customHeight="1">
      <c r="A184" s="220"/>
      <c r="B184" s="220" t="s">
        <v>799</v>
      </c>
      <c r="C184" s="258"/>
      <c r="D184" s="258" t="s">
        <v>421</v>
      </c>
      <c r="E184" s="272">
        <v>169</v>
      </c>
      <c r="F184" s="124" t="s">
        <v>115</v>
      </c>
      <c r="G184" s="171">
        <v>242</v>
      </c>
      <c r="H184" s="182">
        <v>616300</v>
      </c>
      <c r="I184" s="183" t="s">
        <v>157</v>
      </c>
      <c r="J184" s="275">
        <v>33183524.41</v>
      </c>
      <c r="K184" s="275">
        <v>4710391.1500000004</v>
      </c>
      <c r="L184" s="275">
        <v>3009904.48</v>
      </c>
      <c r="M184" s="207">
        <f t="shared" si="4"/>
        <v>0.14194969442668673</v>
      </c>
      <c r="N184" s="207">
        <f t="shared" si="5"/>
        <v>1.5649636662223914</v>
      </c>
    </row>
    <row r="185" spans="1:14" s="130" customFormat="1" ht="15.75" customHeight="1">
      <c r="A185" s="220"/>
      <c r="B185" s="220" t="s">
        <v>799</v>
      </c>
      <c r="C185" s="258"/>
      <c r="D185" s="258" t="s">
        <v>421</v>
      </c>
      <c r="E185" s="272">
        <v>170</v>
      </c>
      <c r="F185" s="124" t="s">
        <v>115</v>
      </c>
      <c r="G185" s="171">
        <v>242</v>
      </c>
      <c r="H185" s="182">
        <v>616500</v>
      </c>
      <c r="I185" s="183" t="s">
        <v>158</v>
      </c>
      <c r="J185" s="275">
        <v>16158326</v>
      </c>
      <c r="K185" s="275">
        <v>80546</v>
      </c>
      <c r="L185" s="275">
        <v>37069</v>
      </c>
      <c r="M185" s="207">
        <f t="shared" si="4"/>
        <v>4.9847985490576192E-3</v>
      </c>
      <c r="N185" s="207">
        <f t="shared" si="5"/>
        <v>2.1728668159378457</v>
      </c>
    </row>
    <row r="186" spans="1:14" s="130" customFormat="1" ht="17.25" customHeight="1">
      <c r="A186" s="220"/>
      <c r="B186" s="220" t="s">
        <v>797</v>
      </c>
      <c r="C186" s="258"/>
      <c r="D186" s="258" t="s">
        <v>454</v>
      </c>
      <c r="E186" s="272">
        <v>171</v>
      </c>
      <c r="F186" s="124" t="s">
        <v>118</v>
      </c>
      <c r="G186" s="162">
        <v>2631</v>
      </c>
      <c r="H186" s="206">
        <v>600000</v>
      </c>
      <c r="I186" s="283" t="s">
        <v>159</v>
      </c>
      <c r="J186" s="275">
        <v>62800447</v>
      </c>
      <c r="K186" s="306"/>
      <c r="L186" s="306"/>
      <c r="M186" s="207">
        <f t="shared" si="4"/>
        <v>0</v>
      </c>
      <c r="N186" s="207" t="str">
        <f t="shared" si="5"/>
        <v/>
      </c>
    </row>
    <row r="187" spans="1:14" s="130" customFormat="1" ht="26.25" customHeight="1">
      <c r="A187" s="220"/>
      <c r="B187" s="220"/>
      <c r="C187" s="258"/>
      <c r="D187" s="258"/>
      <c r="E187" s="262">
        <v>172</v>
      </c>
      <c r="F187" s="262"/>
      <c r="G187" s="263"/>
      <c r="H187" s="307"/>
      <c r="I187" s="180" t="s">
        <v>160</v>
      </c>
      <c r="J187" s="271">
        <v>108822775.07000351</v>
      </c>
      <c r="K187" s="271">
        <v>475538984.74000072</v>
      </c>
      <c r="L187" s="271">
        <v>502357855.14000034</v>
      </c>
      <c r="M187" s="269"/>
      <c r="N187" s="269"/>
    </row>
    <row r="188" spans="1:14" s="130" customFormat="1" ht="26.25" customHeight="1">
      <c r="A188" s="220"/>
      <c r="B188" s="220"/>
      <c r="C188" s="258"/>
      <c r="D188" s="258"/>
      <c r="E188" s="262">
        <v>173</v>
      </c>
      <c r="F188" s="262"/>
      <c r="G188" s="261" t="s">
        <v>694</v>
      </c>
      <c r="H188" s="266"/>
      <c r="I188" s="180" t="s">
        <v>161</v>
      </c>
      <c r="J188" s="308"/>
      <c r="K188" s="308"/>
      <c r="L188" s="308"/>
      <c r="M188" s="269"/>
      <c r="N188" s="269"/>
    </row>
    <row r="189" spans="1:14" s="130" customFormat="1" ht="26.25" customHeight="1">
      <c r="A189" s="220"/>
      <c r="B189" s="220"/>
      <c r="C189" s="258"/>
      <c r="D189" s="258"/>
      <c r="E189" s="272">
        <v>174</v>
      </c>
      <c r="F189" s="124" t="s">
        <v>54</v>
      </c>
      <c r="G189" s="163" t="s">
        <v>490</v>
      </c>
      <c r="H189" s="172">
        <v>811000</v>
      </c>
      <c r="I189" s="201" t="s">
        <v>162</v>
      </c>
      <c r="J189" s="205">
        <v>141907018</v>
      </c>
      <c r="K189" s="205">
        <v>4170218.91</v>
      </c>
      <c r="L189" s="205">
        <v>8235596.4799999995</v>
      </c>
      <c r="M189" s="207">
        <f t="shared" si="4"/>
        <v>2.9386981481070936E-2</v>
      </c>
      <c r="N189" s="207">
        <f t="shared" si="5"/>
        <v>0.50636513337282896</v>
      </c>
    </row>
    <row r="190" spans="1:14" s="130" customFormat="1" ht="20.25" customHeight="1">
      <c r="A190" s="220" t="s">
        <v>796</v>
      </c>
      <c r="B190" s="220"/>
      <c r="C190" s="258"/>
      <c r="D190" s="258" t="s">
        <v>490</v>
      </c>
      <c r="E190" s="272">
        <v>175</v>
      </c>
      <c r="F190" s="124" t="s">
        <v>54</v>
      </c>
      <c r="G190" s="163" t="s">
        <v>53</v>
      </c>
      <c r="H190" s="206">
        <v>811110</v>
      </c>
      <c r="I190" s="283" t="s">
        <v>163</v>
      </c>
      <c r="J190" s="275">
        <v>141668518</v>
      </c>
      <c r="K190" s="275">
        <v>4167422</v>
      </c>
      <c r="L190" s="275">
        <v>7928426.6899999995</v>
      </c>
      <c r="M190" s="207">
        <f t="shared" si="4"/>
        <v>2.9416712046073639E-2</v>
      </c>
      <c r="N190" s="207">
        <f t="shared" si="5"/>
        <v>0.52563038834127129</v>
      </c>
    </row>
    <row r="191" spans="1:14" s="130" customFormat="1" ht="20.25" customHeight="1">
      <c r="A191" s="220" t="s">
        <v>796</v>
      </c>
      <c r="B191" s="220"/>
      <c r="C191" s="258"/>
      <c r="D191" s="258" t="s">
        <v>490</v>
      </c>
      <c r="E191" s="272">
        <v>176</v>
      </c>
      <c r="F191" s="124" t="s">
        <v>54</v>
      </c>
      <c r="G191" s="163" t="s">
        <v>53</v>
      </c>
      <c r="H191" s="182">
        <v>811121</v>
      </c>
      <c r="I191" s="283" t="s">
        <v>164</v>
      </c>
      <c r="J191" s="275">
        <v>4500</v>
      </c>
      <c r="K191" s="275">
        <v>300</v>
      </c>
      <c r="L191" s="275">
        <v>753</v>
      </c>
      <c r="M191" s="207">
        <f t="shared" si="4"/>
        <v>6.6666666666666666E-2</v>
      </c>
      <c r="N191" s="207">
        <f t="shared" si="5"/>
        <v>0.39840637450199201</v>
      </c>
    </row>
    <row r="192" spans="1:14" s="130" customFormat="1" ht="20.25" customHeight="1">
      <c r="A192" s="220" t="s">
        <v>796</v>
      </c>
      <c r="B192" s="220"/>
      <c r="C192" s="258"/>
      <c r="D192" s="258" t="s">
        <v>490</v>
      </c>
      <c r="E192" s="272">
        <v>177</v>
      </c>
      <c r="F192" s="124" t="s">
        <v>54</v>
      </c>
      <c r="G192" s="163" t="s">
        <v>53</v>
      </c>
      <c r="H192" s="182">
        <v>811124</v>
      </c>
      <c r="I192" s="283" t="s">
        <v>165</v>
      </c>
      <c r="J192" s="275">
        <v>130000</v>
      </c>
      <c r="K192" s="275">
        <v>0</v>
      </c>
      <c r="L192" s="275">
        <v>0</v>
      </c>
      <c r="M192" s="207">
        <f t="shared" si="4"/>
        <v>0</v>
      </c>
      <c r="N192" s="207" t="str">
        <f t="shared" si="5"/>
        <v/>
      </c>
    </row>
    <row r="193" spans="1:15" s="130" customFormat="1" ht="20.25" customHeight="1">
      <c r="A193" s="220" t="s">
        <v>796</v>
      </c>
      <c r="B193" s="220"/>
      <c r="C193" s="258"/>
      <c r="D193" s="258" t="s">
        <v>490</v>
      </c>
      <c r="E193" s="272">
        <v>178</v>
      </c>
      <c r="F193" s="124" t="s">
        <v>54</v>
      </c>
      <c r="G193" s="163" t="s">
        <v>53</v>
      </c>
      <c r="H193" s="182">
        <v>811125</v>
      </c>
      <c r="I193" s="283" t="s">
        <v>166</v>
      </c>
      <c r="J193" s="275">
        <v>0</v>
      </c>
      <c r="K193" s="275">
        <v>0</v>
      </c>
      <c r="L193" s="275">
        <v>0</v>
      </c>
      <c r="M193" s="207" t="str">
        <f t="shared" si="4"/>
        <v/>
      </c>
      <c r="N193" s="207" t="str">
        <f t="shared" si="5"/>
        <v/>
      </c>
    </row>
    <row r="194" spans="1:15" s="130" customFormat="1" ht="15" customHeight="1">
      <c r="A194" s="220"/>
      <c r="B194" s="220" t="s">
        <v>793</v>
      </c>
      <c r="C194" s="258"/>
      <c r="D194" s="258" t="s">
        <v>490</v>
      </c>
      <c r="E194" s="272">
        <v>179</v>
      </c>
      <c r="F194" s="124" t="s">
        <v>100</v>
      </c>
      <c r="G194" s="163">
        <v>1442</v>
      </c>
      <c r="H194" s="182">
        <v>811126</v>
      </c>
      <c r="I194" s="309" t="s">
        <v>167</v>
      </c>
      <c r="J194" s="275">
        <v>0</v>
      </c>
      <c r="K194" s="275">
        <v>0</v>
      </c>
      <c r="L194" s="275">
        <v>0</v>
      </c>
      <c r="M194" s="207" t="str">
        <f t="shared" si="4"/>
        <v/>
      </c>
      <c r="N194" s="207" t="str">
        <f t="shared" si="5"/>
        <v/>
      </c>
    </row>
    <row r="195" spans="1:15" s="130" customFormat="1" ht="15.75" customHeight="1">
      <c r="A195" s="220" t="s">
        <v>796</v>
      </c>
      <c r="B195" s="220"/>
      <c r="C195" s="258"/>
      <c r="D195" s="258" t="s">
        <v>490</v>
      </c>
      <c r="E195" s="272">
        <v>180</v>
      </c>
      <c r="F195" s="124" t="s">
        <v>169</v>
      </c>
      <c r="G195" s="163" t="s">
        <v>168</v>
      </c>
      <c r="H195" s="206">
        <v>811200</v>
      </c>
      <c r="I195" s="283" t="s">
        <v>170</v>
      </c>
      <c r="J195" s="275">
        <v>100000</v>
      </c>
      <c r="K195" s="275">
        <v>2496.91</v>
      </c>
      <c r="L195" s="275">
        <v>6416.79</v>
      </c>
      <c r="M195" s="207">
        <f t="shared" si="4"/>
        <v>2.4969099999999998E-2</v>
      </c>
      <c r="N195" s="207">
        <f t="shared" si="5"/>
        <v>0.38912135195323516</v>
      </c>
    </row>
    <row r="196" spans="1:15" s="130" customFormat="1" ht="17.45" customHeight="1">
      <c r="A196" s="220" t="s">
        <v>796</v>
      </c>
      <c r="B196" s="220"/>
      <c r="C196" s="258"/>
      <c r="D196" s="258" t="s">
        <v>490</v>
      </c>
      <c r="E196" s="272">
        <v>181</v>
      </c>
      <c r="F196" s="124" t="s">
        <v>54</v>
      </c>
      <c r="G196" s="163" t="s">
        <v>53</v>
      </c>
      <c r="H196" s="206">
        <v>811900</v>
      </c>
      <c r="I196" s="283" t="s">
        <v>171</v>
      </c>
      <c r="J196" s="275">
        <v>4000</v>
      </c>
      <c r="K196" s="275">
        <v>0</v>
      </c>
      <c r="L196" s="275">
        <v>300000</v>
      </c>
      <c r="M196" s="207">
        <f t="shared" si="4"/>
        <v>0</v>
      </c>
      <c r="N196" s="207">
        <f t="shared" si="5"/>
        <v>0</v>
      </c>
    </row>
    <row r="197" spans="1:15" s="130" customFormat="1" ht="24">
      <c r="A197" s="220"/>
      <c r="B197" s="220"/>
      <c r="C197" s="258"/>
      <c r="D197" s="258"/>
      <c r="E197" s="272">
        <v>182</v>
      </c>
      <c r="F197" s="124" t="s">
        <v>54</v>
      </c>
      <c r="G197" s="163" t="s">
        <v>477</v>
      </c>
      <c r="H197" s="172">
        <v>821000</v>
      </c>
      <c r="I197" s="201" t="s">
        <v>776</v>
      </c>
      <c r="J197" s="205">
        <v>1032377239.5300001</v>
      </c>
      <c r="K197" s="205">
        <v>53916430.069999993</v>
      </c>
      <c r="L197" s="205">
        <v>38565723.570000008</v>
      </c>
      <c r="M197" s="207">
        <f t="shared" si="4"/>
        <v>5.2225512153431415E-2</v>
      </c>
      <c r="N197" s="207">
        <f t="shared" si="5"/>
        <v>1.3980401527314059</v>
      </c>
    </row>
    <row r="198" spans="1:15" s="130" customFormat="1" ht="15.75" customHeight="1">
      <c r="A198" s="220"/>
      <c r="B198" s="220" t="s">
        <v>796</v>
      </c>
      <c r="C198" s="258"/>
      <c r="D198" s="258" t="s">
        <v>477</v>
      </c>
      <c r="E198" s="272">
        <v>183</v>
      </c>
      <c r="F198" s="124" t="s">
        <v>173</v>
      </c>
      <c r="G198" s="163" t="s">
        <v>172</v>
      </c>
      <c r="H198" s="182">
        <v>821100</v>
      </c>
      <c r="I198" s="183" t="s">
        <v>174</v>
      </c>
      <c r="J198" s="275">
        <v>24931130</v>
      </c>
      <c r="K198" s="275">
        <v>3634062.33</v>
      </c>
      <c r="L198" s="275">
        <v>3472777.67</v>
      </c>
      <c r="M198" s="207">
        <f t="shared" si="4"/>
        <v>0.14576404398837919</v>
      </c>
      <c r="N198" s="207">
        <f t="shared" si="5"/>
        <v>1.0464425527131427</v>
      </c>
    </row>
    <row r="199" spans="1:15" s="130" customFormat="1" ht="15.75" customHeight="1">
      <c r="A199" s="220"/>
      <c r="B199" s="220" t="s">
        <v>796</v>
      </c>
      <c r="C199" s="258"/>
      <c r="D199" s="258" t="s">
        <v>477</v>
      </c>
      <c r="E199" s="272">
        <v>184</v>
      </c>
      <c r="F199" s="124" t="s">
        <v>54</v>
      </c>
      <c r="G199" s="163" t="s">
        <v>175</v>
      </c>
      <c r="H199" s="182">
        <v>821200</v>
      </c>
      <c r="I199" s="183" t="s">
        <v>176</v>
      </c>
      <c r="J199" s="275">
        <v>295712149</v>
      </c>
      <c r="K199" s="275">
        <v>18362782.779999997</v>
      </c>
      <c r="L199" s="275">
        <v>11886292.280000001</v>
      </c>
      <c r="M199" s="207">
        <f t="shared" si="4"/>
        <v>6.2096815575879497E-2</v>
      </c>
      <c r="N199" s="207">
        <f t="shared" si="5"/>
        <v>1.5448705405719667</v>
      </c>
    </row>
    <row r="200" spans="1:15" s="130" customFormat="1" ht="15.75" customHeight="1">
      <c r="A200" s="220"/>
      <c r="B200" s="220" t="s">
        <v>796</v>
      </c>
      <c r="C200" s="258"/>
      <c r="D200" s="258" t="s">
        <v>477</v>
      </c>
      <c r="E200" s="272">
        <v>185</v>
      </c>
      <c r="F200" s="124" t="s">
        <v>54</v>
      </c>
      <c r="G200" s="163" t="s">
        <v>175</v>
      </c>
      <c r="H200" s="182">
        <v>821300</v>
      </c>
      <c r="I200" s="183" t="s">
        <v>177</v>
      </c>
      <c r="J200" s="275">
        <v>186723114</v>
      </c>
      <c r="K200" s="275">
        <v>8899602.7899999991</v>
      </c>
      <c r="L200" s="275">
        <v>4650530.4600000009</v>
      </c>
      <c r="M200" s="207">
        <f t="shared" si="4"/>
        <v>4.7662030689998018E-2</v>
      </c>
      <c r="N200" s="207">
        <f t="shared" si="5"/>
        <v>1.9136747660394848</v>
      </c>
    </row>
    <row r="201" spans="1:15" s="130" customFormat="1" ht="15.75" customHeight="1">
      <c r="A201" s="220"/>
      <c r="B201" s="220" t="s">
        <v>796</v>
      </c>
      <c r="C201" s="258"/>
      <c r="D201" s="258" t="s">
        <v>477</v>
      </c>
      <c r="E201" s="272">
        <v>186</v>
      </c>
      <c r="F201" s="124" t="s">
        <v>54</v>
      </c>
      <c r="G201" s="163" t="s">
        <v>175</v>
      </c>
      <c r="H201" s="182">
        <v>821400</v>
      </c>
      <c r="I201" s="183" t="s">
        <v>178</v>
      </c>
      <c r="J201" s="275">
        <v>18230230</v>
      </c>
      <c r="K201" s="275">
        <v>1158239.98</v>
      </c>
      <c r="L201" s="275">
        <v>223910.25</v>
      </c>
      <c r="M201" s="207">
        <f t="shared" si="4"/>
        <v>6.3534030014980605E-2</v>
      </c>
      <c r="N201" s="207">
        <f t="shared" si="5"/>
        <v>5.1727867750583103</v>
      </c>
      <c r="O201" s="203"/>
    </row>
    <row r="202" spans="1:15" s="130" customFormat="1" ht="15.75" customHeight="1">
      <c r="A202" s="220"/>
      <c r="B202" s="220" t="s">
        <v>796</v>
      </c>
      <c r="C202" s="258"/>
      <c r="D202" s="258" t="s">
        <v>477</v>
      </c>
      <c r="E202" s="272">
        <v>187</v>
      </c>
      <c r="F202" s="124" t="s">
        <v>54</v>
      </c>
      <c r="G202" s="163" t="s">
        <v>172</v>
      </c>
      <c r="H202" s="182">
        <v>821500</v>
      </c>
      <c r="I202" s="183" t="s">
        <v>179</v>
      </c>
      <c r="J202" s="275">
        <v>96922969.950000003</v>
      </c>
      <c r="K202" s="275">
        <v>3897438.42</v>
      </c>
      <c r="L202" s="275">
        <v>2628315.7799999998</v>
      </c>
      <c r="M202" s="207">
        <f t="shared" si="4"/>
        <v>4.0211710619377276E-2</v>
      </c>
      <c r="N202" s="207">
        <f t="shared" si="5"/>
        <v>1.4828653579822133</v>
      </c>
    </row>
    <row r="203" spans="1:15" s="130" customFormat="1" ht="15.75" customHeight="1">
      <c r="A203" s="220"/>
      <c r="B203" s="220" t="s">
        <v>796</v>
      </c>
      <c r="C203" s="258"/>
      <c r="D203" s="258" t="s">
        <v>477</v>
      </c>
      <c r="E203" s="272">
        <v>188</v>
      </c>
      <c r="F203" s="124" t="s">
        <v>54</v>
      </c>
      <c r="G203" s="163" t="s">
        <v>175</v>
      </c>
      <c r="H203" s="182">
        <v>821600</v>
      </c>
      <c r="I203" s="183" t="s">
        <v>180</v>
      </c>
      <c r="J203" s="275">
        <v>409857646.58000004</v>
      </c>
      <c r="K203" s="275">
        <v>17964303.77</v>
      </c>
      <c r="L203" s="275">
        <v>15703897.130000001</v>
      </c>
      <c r="M203" s="207">
        <f t="shared" si="4"/>
        <v>4.383059318253698E-2</v>
      </c>
      <c r="N203" s="207">
        <f t="shared" si="5"/>
        <v>1.143939215933975</v>
      </c>
    </row>
    <row r="204" spans="1:15" s="130" customFormat="1" ht="27" customHeight="1">
      <c r="A204" s="223"/>
      <c r="B204" s="223"/>
      <c r="C204" s="224"/>
      <c r="D204" s="224"/>
      <c r="E204" s="262">
        <v>189</v>
      </c>
      <c r="F204" s="262" t="s">
        <v>54</v>
      </c>
      <c r="G204" s="264">
        <v>31</v>
      </c>
      <c r="H204" s="307"/>
      <c r="I204" s="180" t="s">
        <v>777</v>
      </c>
      <c r="J204" s="271">
        <v>890470221.53000009</v>
      </c>
      <c r="K204" s="271">
        <v>49746211.159999996</v>
      </c>
      <c r="L204" s="271">
        <v>30330127.090000007</v>
      </c>
      <c r="M204" s="269"/>
      <c r="N204" s="269"/>
    </row>
    <row r="205" spans="1:15" s="130" customFormat="1" ht="30" customHeight="1">
      <c r="A205" s="223"/>
      <c r="B205" s="223"/>
      <c r="C205" s="224"/>
      <c r="D205" s="224"/>
      <c r="E205" s="262">
        <v>190</v>
      </c>
      <c r="F205" s="262"/>
      <c r="G205" s="263"/>
      <c r="H205" s="307"/>
      <c r="I205" s="180" t="s">
        <v>181</v>
      </c>
      <c r="J205" s="271">
        <v>-781647446.45999658</v>
      </c>
      <c r="K205" s="271">
        <v>425792773.58000076</v>
      </c>
      <c r="L205" s="271">
        <v>472027728.05000031</v>
      </c>
      <c r="M205" s="269"/>
      <c r="N205" s="269"/>
    </row>
    <row r="206" spans="1:15" s="130" customFormat="1" ht="20.25" customHeight="1">
      <c r="A206" s="223"/>
      <c r="B206" s="223"/>
      <c r="C206" s="224"/>
      <c r="D206" s="224"/>
      <c r="E206" s="262">
        <v>191</v>
      </c>
      <c r="F206" s="262"/>
      <c r="G206" s="261" t="s">
        <v>695</v>
      </c>
      <c r="H206" s="266"/>
      <c r="I206" s="180" t="s">
        <v>182</v>
      </c>
      <c r="J206" s="308"/>
      <c r="K206" s="308"/>
      <c r="L206" s="308"/>
      <c r="M206" s="269"/>
      <c r="N206" s="269"/>
    </row>
    <row r="207" spans="1:15" s="130" customFormat="1" ht="27" customHeight="1">
      <c r="A207" s="223"/>
      <c r="B207" s="223"/>
      <c r="C207" s="224"/>
      <c r="D207" s="224"/>
      <c r="E207" s="272">
        <v>192</v>
      </c>
      <c r="F207" s="124"/>
      <c r="G207" s="181" t="s">
        <v>705</v>
      </c>
      <c r="H207" s="172"/>
      <c r="I207" s="201" t="s">
        <v>778</v>
      </c>
      <c r="J207" s="205">
        <v>113313822</v>
      </c>
      <c r="K207" s="205">
        <v>2492235.7799999998</v>
      </c>
      <c r="L207" s="205">
        <v>1659281.88</v>
      </c>
      <c r="M207" s="207">
        <f t="shared" si="4"/>
        <v>2.1994102184639045E-2</v>
      </c>
      <c r="N207" s="207">
        <f t="shared" si="5"/>
        <v>1.5019966227799704</v>
      </c>
    </row>
    <row r="208" spans="1:15" s="130" customFormat="1" ht="14.25" customHeight="1">
      <c r="A208" s="223"/>
      <c r="B208" s="223"/>
      <c r="C208" s="224"/>
      <c r="D208" s="224" t="s">
        <v>629</v>
      </c>
      <c r="E208" s="272">
        <v>193</v>
      </c>
      <c r="F208" s="124" t="s">
        <v>56</v>
      </c>
      <c r="G208" s="181" t="s">
        <v>55</v>
      </c>
      <c r="H208" s="206">
        <v>811122</v>
      </c>
      <c r="I208" s="283" t="s">
        <v>183</v>
      </c>
      <c r="J208" s="275">
        <v>0</v>
      </c>
      <c r="K208" s="275">
        <v>0</v>
      </c>
      <c r="L208" s="275">
        <v>0</v>
      </c>
      <c r="M208" s="207" t="str">
        <f t="shared" ref="M208:M271" si="6">IFERROR(SUM(K208/J208),"")</f>
        <v/>
      </c>
      <c r="N208" s="207" t="str">
        <f t="shared" si="5"/>
        <v/>
      </c>
    </row>
    <row r="209" spans="1:14" s="130" customFormat="1" ht="15" customHeight="1">
      <c r="A209" s="223"/>
      <c r="B209" s="223"/>
      <c r="C209" s="224"/>
      <c r="D209" s="224" t="s">
        <v>629</v>
      </c>
      <c r="E209" s="272">
        <v>194</v>
      </c>
      <c r="F209" s="124" t="s">
        <v>56</v>
      </c>
      <c r="G209" s="181" t="s">
        <v>55</v>
      </c>
      <c r="H209" s="206">
        <v>811123</v>
      </c>
      <c r="I209" s="283" t="s">
        <v>184</v>
      </c>
      <c r="J209" s="275">
        <v>0</v>
      </c>
      <c r="K209" s="275">
        <v>0</v>
      </c>
      <c r="L209" s="275">
        <v>0</v>
      </c>
      <c r="M209" s="207" t="str">
        <f t="shared" si="6"/>
        <v/>
      </c>
      <c r="N209" s="207" t="str">
        <f t="shared" ref="N209:N271" si="7">IFERROR(SUM(K209/L209),"")</f>
        <v/>
      </c>
    </row>
    <row r="210" spans="1:14" s="130" customFormat="1" ht="18" customHeight="1">
      <c r="A210" s="223"/>
      <c r="B210" s="223"/>
      <c r="C210" s="224"/>
      <c r="D210" s="224" t="s">
        <v>525</v>
      </c>
      <c r="E210" s="272">
        <v>195</v>
      </c>
      <c r="F210" s="124" t="s">
        <v>45</v>
      </c>
      <c r="G210" s="181" t="s">
        <v>44</v>
      </c>
      <c r="H210" s="206">
        <v>813100</v>
      </c>
      <c r="I210" s="283" t="s">
        <v>185</v>
      </c>
      <c r="J210" s="275">
        <v>0</v>
      </c>
      <c r="K210" s="275">
        <v>0</v>
      </c>
      <c r="L210" s="275">
        <v>0</v>
      </c>
      <c r="M210" s="207" t="str">
        <f t="shared" si="6"/>
        <v/>
      </c>
      <c r="N210" s="207" t="str">
        <f t="shared" si="7"/>
        <v/>
      </c>
    </row>
    <row r="211" spans="1:14" s="130" customFormat="1" ht="24.75" customHeight="1">
      <c r="A211" s="223"/>
      <c r="B211" s="223"/>
      <c r="C211" s="224"/>
      <c r="D211" s="224" t="s">
        <v>527</v>
      </c>
      <c r="E211" s="272">
        <v>196</v>
      </c>
      <c r="F211" s="124" t="s">
        <v>45</v>
      </c>
      <c r="G211" s="181" t="s">
        <v>44</v>
      </c>
      <c r="H211" s="206">
        <v>813200</v>
      </c>
      <c r="I211" s="283" t="s">
        <v>186</v>
      </c>
      <c r="J211" s="275">
        <v>1337900</v>
      </c>
      <c r="K211" s="275">
        <v>1039143.92</v>
      </c>
      <c r="L211" s="275">
        <v>405957.62</v>
      </c>
      <c r="M211" s="207">
        <f t="shared" si="6"/>
        <v>0.77669775020554599</v>
      </c>
      <c r="N211" s="207">
        <f t="shared" si="7"/>
        <v>2.5597349792325614</v>
      </c>
    </row>
    <row r="212" spans="1:14" s="130" customFormat="1" ht="17.25" customHeight="1">
      <c r="A212" s="223"/>
      <c r="B212" s="223"/>
      <c r="C212" s="224"/>
      <c r="D212" s="224" t="s">
        <v>527</v>
      </c>
      <c r="E212" s="272">
        <v>197</v>
      </c>
      <c r="F212" s="124" t="s">
        <v>45</v>
      </c>
      <c r="G212" s="181" t="s">
        <v>44</v>
      </c>
      <c r="H212" s="206">
        <v>813300</v>
      </c>
      <c r="I212" s="283" t="s">
        <v>187</v>
      </c>
      <c r="J212" s="275">
        <v>104442000</v>
      </c>
      <c r="K212" s="275">
        <v>277123</v>
      </c>
      <c r="L212" s="275">
        <v>170294</v>
      </c>
      <c r="M212" s="207">
        <f t="shared" si="6"/>
        <v>2.6533674192374714E-3</v>
      </c>
      <c r="N212" s="207">
        <f t="shared" si="7"/>
        <v>1.6273209860594031</v>
      </c>
    </row>
    <row r="213" spans="1:14" s="130" customFormat="1" ht="26.25" customHeight="1">
      <c r="A213" s="223"/>
      <c r="B213" s="223"/>
      <c r="C213" s="224"/>
      <c r="D213" s="224" t="s">
        <v>630</v>
      </c>
      <c r="E213" s="272">
        <v>198</v>
      </c>
      <c r="F213" s="124" t="s">
        <v>56</v>
      </c>
      <c r="G213" s="181" t="s">
        <v>55</v>
      </c>
      <c r="H213" s="206">
        <v>813400</v>
      </c>
      <c r="I213" s="283" t="s">
        <v>188</v>
      </c>
      <c r="J213" s="275">
        <v>0</v>
      </c>
      <c r="K213" s="275">
        <v>0</v>
      </c>
      <c r="L213" s="275">
        <v>0</v>
      </c>
      <c r="M213" s="207" t="str">
        <f t="shared" si="6"/>
        <v/>
      </c>
      <c r="N213" s="207" t="str">
        <f t="shared" si="7"/>
        <v/>
      </c>
    </row>
    <row r="214" spans="1:14" s="130" customFormat="1" ht="26.25" customHeight="1">
      <c r="A214" s="223"/>
      <c r="B214" s="223"/>
      <c r="C214" s="224"/>
      <c r="D214" s="224" t="s">
        <v>630</v>
      </c>
      <c r="E214" s="272">
        <v>199</v>
      </c>
      <c r="F214" s="124" t="s">
        <v>56</v>
      </c>
      <c r="G214" s="181" t="s">
        <v>55</v>
      </c>
      <c r="H214" s="206">
        <v>813500</v>
      </c>
      <c r="I214" s="283" t="s">
        <v>189</v>
      </c>
      <c r="J214" s="275">
        <v>127200</v>
      </c>
      <c r="K214" s="275">
        <v>28285</v>
      </c>
      <c r="L214" s="275">
        <v>84841</v>
      </c>
      <c r="M214" s="207">
        <f t="shared" si="6"/>
        <v>0.22236635220125786</v>
      </c>
      <c r="N214" s="207">
        <f t="shared" si="7"/>
        <v>0.33338833818554708</v>
      </c>
    </row>
    <row r="215" spans="1:14" s="130" customFormat="1" ht="26.25" customHeight="1">
      <c r="A215" s="223"/>
      <c r="B215" s="223"/>
      <c r="C215" s="224"/>
      <c r="D215" s="224" t="s">
        <v>633</v>
      </c>
      <c r="E215" s="272">
        <v>200</v>
      </c>
      <c r="F215" s="124"/>
      <c r="G215" s="181" t="s">
        <v>44</v>
      </c>
      <c r="H215" s="206">
        <v>813600</v>
      </c>
      <c r="I215" s="283" t="s">
        <v>190</v>
      </c>
      <c r="J215" s="275">
        <v>7406722</v>
      </c>
      <c r="K215" s="275">
        <v>1147683.8599999999</v>
      </c>
      <c r="L215" s="275">
        <v>998189.26</v>
      </c>
      <c r="M215" s="207">
        <f t="shared" si="6"/>
        <v>0.15495165877698661</v>
      </c>
      <c r="N215" s="207">
        <f t="shared" si="7"/>
        <v>1.149765786900973</v>
      </c>
    </row>
    <row r="216" spans="1:14" s="130" customFormat="1" ht="15" customHeight="1">
      <c r="A216" s="223"/>
      <c r="B216" s="223"/>
      <c r="C216" s="224" t="s">
        <v>633</v>
      </c>
      <c r="D216" s="224" t="s">
        <v>633</v>
      </c>
      <c r="E216" s="272">
        <v>201</v>
      </c>
      <c r="F216" s="124" t="s">
        <v>45</v>
      </c>
      <c r="G216" s="181" t="s">
        <v>44</v>
      </c>
      <c r="H216" s="293">
        <v>813611</v>
      </c>
      <c r="I216" s="282" t="s">
        <v>191</v>
      </c>
      <c r="J216" s="275">
        <v>0</v>
      </c>
      <c r="K216" s="275">
        <v>0</v>
      </c>
      <c r="L216" s="275">
        <v>0</v>
      </c>
      <c r="M216" s="207" t="str">
        <f t="shared" si="6"/>
        <v/>
      </c>
      <c r="N216" s="207" t="str">
        <f t="shared" si="7"/>
        <v/>
      </c>
    </row>
    <row r="217" spans="1:14" s="130" customFormat="1" ht="15" customHeight="1">
      <c r="A217" s="223"/>
      <c r="B217" s="223"/>
      <c r="C217" s="224" t="s">
        <v>633</v>
      </c>
      <c r="D217" s="224" t="s">
        <v>634</v>
      </c>
      <c r="E217" s="272">
        <v>202</v>
      </c>
      <c r="F217" s="124" t="s">
        <v>45</v>
      </c>
      <c r="G217" s="181" t="s">
        <v>44</v>
      </c>
      <c r="H217" s="293">
        <v>813612</v>
      </c>
      <c r="I217" s="282" t="s">
        <v>192</v>
      </c>
      <c r="J217" s="275">
        <v>211709</v>
      </c>
      <c r="K217" s="275">
        <v>29515.91</v>
      </c>
      <c r="L217" s="275">
        <v>998189.26</v>
      </c>
      <c r="M217" s="207">
        <f t="shared" si="6"/>
        <v>0.13941736062236371</v>
      </c>
      <c r="N217" s="207">
        <f t="shared" si="7"/>
        <v>2.9569452590583873E-2</v>
      </c>
    </row>
    <row r="218" spans="1:14" s="130" customFormat="1" ht="18" customHeight="1">
      <c r="A218" s="223"/>
      <c r="B218" s="223"/>
      <c r="C218" s="224"/>
      <c r="D218" s="224" t="s">
        <v>193</v>
      </c>
      <c r="E218" s="272">
        <v>203</v>
      </c>
      <c r="F218" s="124" t="s">
        <v>45</v>
      </c>
      <c r="G218" s="181" t="s">
        <v>193</v>
      </c>
      <c r="H218" s="206">
        <v>813700</v>
      </c>
      <c r="I218" s="283" t="s">
        <v>194</v>
      </c>
      <c r="J218" s="275">
        <v>0</v>
      </c>
      <c r="K218" s="275">
        <v>0</v>
      </c>
      <c r="L218" s="275">
        <v>0</v>
      </c>
      <c r="M218" s="207" t="str">
        <f t="shared" si="6"/>
        <v/>
      </c>
      <c r="N218" s="207" t="str">
        <f t="shared" si="7"/>
        <v/>
      </c>
    </row>
    <row r="219" spans="1:14" s="130" customFormat="1" ht="26.25" customHeight="1">
      <c r="A219" s="223"/>
      <c r="B219" s="223"/>
      <c r="C219" s="224"/>
      <c r="D219" s="224"/>
      <c r="E219" s="272">
        <v>204</v>
      </c>
      <c r="F219" s="124"/>
      <c r="G219" s="181" t="s">
        <v>779</v>
      </c>
      <c r="H219" s="172">
        <v>822000</v>
      </c>
      <c r="I219" s="201" t="s">
        <v>195</v>
      </c>
      <c r="J219" s="205">
        <v>34517436</v>
      </c>
      <c r="K219" s="205">
        <v>714876.38</v>
      </c>
      <c r="L219" s="205">
        <v>15894729.42</v>
      </c>
      <c r="M219" s="207">
        <f t="shared" si="6"/>
        <v>2.0710587541902012E-2</v>
      </c>
      <c r="N219" s="207">
        <f t="shared" si="7"/>
        <v>4.4975687292951733E-2</v>
      </c>
    </row>
    <row r="220" spans="1:14" s="130" customFormat="1" ht="16.5" customHeight="1">
      <c r="A220" s="223"/>
      <c r="B220" s="223"/>
      <c r="C220" s="224"/>
      <c r="D220" s="224" t="s">
        <v>531</v>
      </c>
      <c r="E220" s="272">
        <v>205</v>
      </c>
      <c r="F220" s="124" t="s">
        <v>45</v>
      </c>
      <c r="G220" s="181" t="s">
        <v>196</v>
      </c>
      <c r="H220" s="206">
        <v>822100</v>
      </c>
      <c r="I220" s="283" t="s">
        <v>197</v>
      </c>
      <c r="J220" s="275">
        <v>30000</v>
      </c>
      <c r="K220" s="275">
        <v>0</v>
      </c>
      <c r="L220" s="275">
        <v>0</v>
      </c>
      <c r="M220" s="207">
        <f t="shared" si="6"/>
        <v>0</v>
      </c>
      <c r="N220" s="207" t="str">
        <f t="shared" si="7"/>
        <v/>
      </c>
    </row>
    <row r="221" spans="1:14" s="130" customFormat="1" ht="24" customHeight="1">
      <c r="A221" s="223"/>
      <c r="B221" s="223"/>
      <c r="C221" s="224"/>
      <c r="D221" s="224" t="s">
        <v>635</v>
      </c>
      <c r="E221" s="272">
        <v>206</v>
      </c>
      <c r="F221" s="124" t="s">
        <v>45</v>
      </c>
      <c r="G221" s="181" t="s">
        <v>196</v>
      </c>
      <c r="H221" s="206">
        <v>822200</v>
      </c>
      <c r="I221" s="283" t="s">
        <v>198</v>
      </c>
      <c r="J221" s="275">
        <v>1149800</v>
      </c>
      <c r="K221" s="275">
        <v>200000</v>
      </c>
      <c r="L221" s="275">
        <v>28200</v>
      </c>
      <c r="M221" s="207">
        <f t="shared" si="6"/>
        <v>0.17394329448599757</v>
      </c>
      <c r="N221" s="207">
        <f t="shared" si="7"/>
        <v>7.0921985815602833</v>
      </c>
    </row>
    <row r="222" spans="1:14" s="130" customFormat="1" ht="14.25" customHeight="1">
      <c r="A222" s="223"/>
      <c r="B222" s="223"/>
      <c r="C222" s="224"/>
      <c r="D222" s="224" t="s">
        <v>534</v>
      </c>
      <c r="E222" s="272">
        <v>207</v>
      </c>
      <c r="F222" s="124" t="s">
        <v>45</v>
      </c>
      <c r="G222" s="181" t="s">
        <v>196</v>
      </c>
      <c r="H222" s="206">
        <v>822300</v>
      </c>
      <c r="I222" s="283" t="s">
        <v>199</v>
      </c>
      <c r="J222" s="275">
        <v>154000</v>
      </c>
      <c r="K222" s="275">
        <v>460381</v>
      </c>
      <c r="L222" s="275">
        <v>800000</v>
      </c>
      <c r="M222" s="207">
        <f t="shared" si="6"/>
        <v>2.9894870129870128</v>
      </c>
      <c r="N222" s="207">
        <f t="shared" si="7"/>
        <v>0.57547625000000002</v>
      </c>
    </row>
    <row r="223" spans="1:14" s="130" customFormat="1" ht="13.5" customHeight="1">
      <c r="A223" s="223"/>
      <c r="B223" s="223"/>
      <c r="C223" s="224"/>
      <c r="D223" s="224" t="s">
        <v>631</v>
      </c>
      <c r="E223" s="272">
        <v>208</v>
      </c>
      <c r="F223" s="124" t="s">
        <v>56</v>
      </c>
      <c r="G223" s="181" t="s">
        <v>200</v>
      </c>
      <c r="H223" s="206">
        <v>822400</v>
      </c>
      <c r="I223" s="283" t="s">
        <v>201</v>
      </c>
      <c r="J223" s="275">
        <v>193920</v>
      </c>
      <c r="K223" s="275">
        <v>0</v>
      </c>
      <c r="L223" s="275">
        <v>18480</v>
      </c>
      <c r="M223" s="207">
        <f t="shared" si="6"/>
        <v>0</v>
      </c>
      <c r="N223" s="207">
        <f t="shared" si="7"/>
        <v>0</v>
      </c>
    </row>
    <row r="224" spans="1:14" s="130" customFormat="1" ht="26.25" customHeight="1">
      <c r="A224" s="223"/>
      <c r="B224" s="223"/>
      <c r="C224" s="224"/>
      <c r="D224" s="224" t="s">
        <v>632</v>
      </c>
      <c r="E224" s="272">
        <v>209</v>
      </c>
      <c r="F224" s="124" t="s">
        <v>56</v>
      </c>
      <c r="G224" s="181" t="s">
        <v>200</v>
      </c>
      <c r="H224" s="206">
        <v>822500</v>
      </c>
      <c r="I224" s="283" t="s">
        <v>202</v>
      </c>
      <c r="J224" s="275">
        <v>80000</v>
      </c>
      <c r="K224" s="275">
        <v>50000</v>
      </c>
      <c r="L224" s="275">
        <v>6985</v>
      </c>
      <c r="M224" s="207">
        <f t="shared" si="6"/>
        <v>0.625</v>
      </c>
      <c r="N224" s="207">
        <f t="shared" si="7"/>
        <v>7.1581961345740872</v>
      </c>
    </row>
    <row r="225" spans="1:14" s="130" customFormat="1" ht="14.25" customHeight="1">
      <c r="A225" s="223"/>
      <c r="B225" s="223"/>
      <c r="C225" s="224"/>
      <c r="D225" s="224" t="s">
        <v>636</v>
      </c>
      <c r="E225" s="272">
        <v>210</v>
      </c>
      <c r="F225" s="124"/>
      <c r="G225" s="181"/>
      <c r="H225" s="206">
        <v>822600</v>
      </c>
      <c r="I225" s="283" t="s">
        <v>203</v>
      </c>
      <c r="J225" s="275">
        <v>32909716</v>
      </c>
      <c r="K225" s="275">
        <v>4495.38</v>
      </c>
      <c r="L225" s="275">
        <v>15041064.42</v>
      </c>
      <c r="M225" s="207">
        <f t="shared" si="6"/>
        <v>1.3659735015640975E-4</v>
      </c>
      <c r="N225" s="207">
        <f t="shared" si="7"/>
        <v>2.9887379473107794E-4</v>
      </c>
    </row>
    <row r="226" spans="1:14" s="130" customFormat="1" ht="16.5" customHeight="1">
      <c r="A226" s="223"/>
      <c r="B226" s="223"/>
      <c r="C226" s="224" t="s">
        <v>636</v>
      </c>
      <c r="D226" s="224" t="s">
        <v>636</v>
      </c>
      <c r="E226" s="272">
        <v>211</v>
      </c>
      <c r="F226" s="124" t="s">
        <v>45</v>
      </c>
      <c r="G226" s="181" t="s">
        <v>196</v>
      </c>
      <c r="H226" s="293">
        <v>822611</v>
      </c>
      <c r="I226" s="282" t="s">
        <v>780</v>
      </c>
      <c r="J226" s="275">
        <v>1449240</v>
      </c>
      <c r="K226" s="275">
        <v>4495.38</v>
      </c>
      <c r="L226" s="275">
        <v>48049.42</v>
      </c>
      <c r="M226" s="207">
        <f t="shared" si="6"/>
        <v>3.10188788606442E-3</v>
      </c>
      <c r="N226" s="207">
        <f t="shared" si="7"/>
        <v>9.355742483468063E-2</v>
      </c>
    </row>
    <row r="227" spans="1:14" s="130" customFormat="1" ht="15.75" customHeight="1">
      <c r="A227" s="223"/>
      <c r="B227" s="223"/>
      <c r="C227" s="224" t="s">
        <v>636</v>
      </c>
      <c r="D227" s="224" t="s">
        <v>635</v>
      </c>
      <c r="E227" s="272">
        <v>212</v>
      </c>
      <c r="F227" s="124" t="s">
        <v>45</v>
      </c>
      <c r="G227" s="181" t="s">
        <v>196</v>
      </c>
      <c r="H227" s="293">
        <v>822612</v>
      </c>
      <c r="I227" s="282" t="s">
        <v>781</v>
      </c>
      <c r="J227" s="275">
        <v>31727576</v>
      </c>
      <c r="K227" s="275">
        <v>20140</v>
      </c>
      <c r="L227" s="275">
        <v>14926218</v>
      </c>
      <c r="M227" s="207">
        <f t="shared" si="6"/>
        <v>6.3477903259927574E-4</v>
      </c>
      <c r="N227" s="207">
        <f t="shared" si="7"/>
        <v>1.3493036213192116E-3</v>
      </c>
    </row>
    <row r="228" spans="1:14" s="130" customFormat="1" ht="18" customHeight="1">
      <c r="A228" s="223"/>
      <c r="B228" s="223"/>
      <c r="C228" s="224"/>
      <c r="D228" s="224" t="s">
        <v>204</v>
      </c>
      <c r="E228" s="272">
        <v>213</v>
      </c>
      <c r="F228" s="124" t="s">
        <v>45</v>
      </c>
      <c r="G228" s="181" t="s">
        <v>204</v>
      </c>
      <c r="H228" s="206">
        <v>822700</v>
      </c>
      <c r="I228" s="283" t="s">
        <v>205</v>
      </c>
      <c r="J228" s="275">
        <v>0</v>
      </c>
      <c r="K228" s="275">
        <v>0</v>
      </c>
      <c r="L228" s="275">
        <v>0</v>
      </c>
      <c r="M228" s="207" t="str">
        <f t="shared" si="6"/>
        <v/>
      </c>
      <c r="N228" s="207" t="str">
        <f t="shared" si="7"/>
        <v/>
      </c>
    </row>
    <row r="229" spans="1:14" s="130" customFormat="1" ht="27" customHeight="1">
      <c r="A229" s="223"/>
      <c r="B229" s="223"/>
      <c r="C229" s="224"/>
      <c r="D229" s="224" t="s">
        <v>206</v>
      </c>
      <c r="E229" s="262">
        <v>214</v>
      </c>
      <c r="F229" s="262"/>
      <c r="G229" s="265">
        <v>32</v>
      </c>
      <c r="H229" s="307"/>
      <c r="I229" s="204" t="s">
        <v>782</v>
      </c>
      <c r="J229" s="271">
        <v>78796386</v>
      </c>
      <c r="K229" s="271">
        <v>1777359.4</v>
      </c>
      <c r="L229" s="271">
        <v>-14235447.539999999</v>
      </c>
      <c r="M229" s="269"/>
      <c r="N229" s="269"/>
    </row>
    <row r="230" spans="1:14" s="130" customFormat="1" ht="24.75" customHeight="1">
      <c r="A230" s="223"/>
      <c r="B230" s="223"/>
      <c r="C230" s="224"/>
      <c r="D230" s="224"/>
      <c r="E230" s="262">
        <v>215</v>
      </c>
      <c r="F230" s="262"/>
      <c r="G230" s="261" t="s">
        <v>696</v>
      </c>
      <c r="H230" s="266"/>
      <c r="I230" s="180" t="s">
        <v>207</v>
      </c>
      <c r="J230" s="308"/>
      <c r="K230" s="308"/>
      <c r="L230" s="308"/>
      <c r="M230" s="269"/>
      <c r="N230" s="269"/>
    </row>
    <row r="231" spans="1:14" s="130" customFormat="1" ht="17.25" customHeight="1">
      <c r="A231" s="223"/>
      <c r="B231" s="223"/>
      <c r="C231" s="224"/>
      <c r="D231" s="224"/>
      <c r="E231" s="272">
        <v>216</v>
      </c>
      <c r="F231" s="124"/>
      <c r="G231" s="181">
        <v>331</v>
      </c>
      <c r="H231" s="172"/>
      <c r="I231" s="201" t="s">
        <v>208</v>
      </c>
      <c r="J231" s="205">
        <v>1541931935.3699999</v>
      </c>
      <c r="K231" s="205">
        <v>145636870.71000001</v>
      </c>
      <c r="L231" s="205">
        <v>7758742</v>
      </c>
      <c r="M231" s="207">
        <f t="shared" si="6"/>
        <v>9.445090757203442E-2</v>
      </c>
      <c r="N231" s="207">
        <f t="shared" si="7"/>
        <v>18.770680957041748</v>
      </c>
    </row>
    <row r="232" spans="1:14" s="130" customFormat="1" ht="22.5" customHeight="1">
      <c r="A232" s="223"/>
      <c r="B232" s="223"/>
      <c r="C232" s="224"/>
      <c r="D232" s="224"/>
      <c r="E232" s="272">
        <v>217</v>
      </c>
      <c r="F232" s="124"/>
      <c r="G232" s="124"/>
      <c r="H232" s="182">
        <v>814000</v>
      </c>
      <c r="I232" s="183" t="s">
        <v>209</v>
      </c>
      <c r="J232" s="273">
        <v>1140098251.3699999</v>
      </c>
      <c r="K232" s="273">
        <v>116757735.45</v>
      </c>
      <c r="L232" s="273">
        <v>7258742</v>
      </c>
      <c r="M232" s="207">
        <f t="shared" si="6"/>
        <v>0.10241023991546166</v>
      </c>
      <c r="N232" s="207">
        <f t="shared" si="7"/>
        <v>16.08511990782976</v>
      </c>
    </row>
    <row r="233" spans="1:14" s="130" customFormat="1" ht="14.25" customHeight="1">
      <c r="A233" s="223"/>
      <c r="B233" s="223"/>
      <c r="C233" s="224"/>
      <c r="D233" s="224" t="s">
        <v>212</v>
      </c>
      <c r="E233" s="272">
        <v>218</v>
      </c>
      <c r="F233" s="124" t="s">
        <v>45</v>
      </c>
      <c r="G233" s="124" t="s">
        <v>210</v>
      </c>
      <c r="H233" s="182">
        <v>814100</v>
      </c>
      <c r="I233" s="183" t="s">
        <v>211</v>
      </c>
      <c r="J233" s="275">
        <v>195000000</v>
      </c>
      <c r="K233" s="275">
        <v>108042948</v>
      </c>
      <c r="L233" s="275">
        <v>0</v>
      </c>
      <c r="M233" s="207">
        <f t="shared" si="6"/>
        <v>0.55406639999999996</v>
      </c>
      <c r="N233" s="207" t="str">
        <f t="shared" si="7"/>
        <v/>
      </c>
    </row>
    <row r="234" spans="1:14" s="130" customFormat="1" ht="14.25" customHeight="1">
      <c r="A234" s="223"/>
      <c r="B234" s="223"/>
      <c r="C234" s="224"/>
      <c r="D234" s="224" t="s">
        <v>212</v>
      </c>
      <c r="E234" s="272">
        <v>219</v>
      </c>
      <c r="F234" s="124" t="s">
        <v>45</v>
      </c>
      <c r="G234" s="124" t="s">
        <v>212</v>
      </c>
      <c r="H234" s="182">
        <v>814200</v>
      </c>
      <c r="I234" s="183" t="s">
        <v>214</v>
      </c>
      <c r="J234" s="275">
        <v>201418338</v>
      </c>
      <c r="K234" s="275">
        <v>0</v>
      </c>
      <c r="L234" s="275">
        <v>37821</v>
      </c>
      <c r="M234" s="207">
        <f t="shared" si="6"/>
        <v>0</v>
      </c>
      <c r="N234" s="207">
        <f t="shared" si="7"/>
        <v>0</v>
      </c>
    </row>
    <row r="235" spans="1:14" s="130" customFormat="1" ht="14.25" customHeight="1">
      <c r="A235" s="223"/>
      <c r="B235" s="223"/>
      <c r="C235" s="224"/>
      <c r="D235" s="224" t="s">
        <v>582</v>
      </c>
      <c r="E235" s="272">
        <v>220</v>
      </c>
      <c r="F235" s="124"/>
      <c r="G235" s="124"/>
      <c r="H235" s="182">
        <v>814300</v>
      </c>
      <c r="I235" s="183" t="s">
        <v>215</v>
      </c>
      <c r="J235" s="275">
        <v>743679913.37</v>
      </c>
      <c r="K235" s="275">
        <v>8714787.4499999993</v>
      </c>
      <c r="L235" s="275">
        <v>7220921</v>
      </c>
      <c r="M235" s="207">
        <f t="shared" si="6"/>
        <v>1.1718465556651611E-2</v>
      </c>
      <c r="N235" s="207">
        <f t="shared" si="7"/>
        <v>1.206880320391263</v>
      </c>
    </row>
    <row r="236" spans="1:14" s="130" customFormat="1" ht="24" customHeight="1">
      <c r="A236" s="223"/>
      <c r="B236" s="223"/>
      <c r="C236" s="224" t="s">
        <v>582</v>
      </c>
      <c r="D236" s="224" t="s">
        <v>572</v>
      </c>
      <c r="E236" s="272">
        <v>221</v>
      </c>
      <c r="F236" s="124" t="s">
        <v>213</v>
      </c>
      <c r="G236" s="124" t="s">
        <v>216</v>
      </c>
      <c r="H236" s="310">
        <v>814310</v>
      </c>
      <c r="I236" s="208" t="s">
        <v>217</v>
      </c>
      <c r="J236" s="275">
        <v>540000000</v>
      </c>
      <c r="K236" s="275">
        <v>0</v>
      </c>
      <c r="L236" s="275">
        <v>0</v>
      </c>
      <c r="M236" s="207">
        <f t="shared" si="6"/>
        <v>0</v>
      </c>
      <c r="N236" s="207" t="str">
        <f t="shared" si="7"/>
        <v/>
      </c>
    </row>
    <row r="237" spans="1:14" s="130" customFormat="1" ht="12" customHeight="1">
      <c r="A237" s="223"/>
      <c r="B237" s="223"/>
      <c r="C237" s="224" t="s">
        <v>582</v>
      </c>
      <c r="D237" s="224" t="s">
        <v>582</v>
      </c>
      <c r="E237" s="272">
        <v>222</v>
      </c>
      <c r="F237" s="124" t="s">
        <v>45</v>
      </c>
      <c r="G237" s="124" t="s">
        <v>210</v>
      </c>
      <c r="H237" s="310">
        <v>814320</v>
      </c>
      <c r="I237" s="208" t="s">
        <v>218</v>
      </c>
      <c r="J237" s="275">
        <v>0</v>
      </c>
      <c r="K237" s="275">
        <v>0</v>
      </c>
      <c r="L237" s="275">
        <v>0</v>
      </c>
      <c r="M237" s="207" t="str">
        <f t="shared" si="6"/>
        <v/>
      </c>
      <c r="N237" s="207" t="str">
        <f t="shared" si="7"/>
        <v/>
      </c>
    </row>
    <row r="238" spans="1:14" s="130" customFormat="1" ht="15.75" customHeight="1">
      <c r="A238" s="223"/>
      <c r="B238" s="223"/>
      <c r="C238" s="224" t="s">
        <v>582</v>
      </c>
      <c r="D238" s="224" t="s">
        <v>582</v>
      </c>
      <c r="E238" s="272">
        <v>223</v>
      </c>
      <c r="F238" s="124" t="s">
        <v>45</v>
      </c>
      <c r="G238" s="124" t="s">
        <v>210</v>
      </c>
      <c r="H238" s="310">
        <v>814321</v>
      </c>
      <c r="I238" s="208" t="s">
        <v>119</v>
      </c>
      <c r="J238" s="275">
        <v>0</v>
      </c>
      <c r="K238" s="275">
        <v>0</v>
      </c>
      <c r="L238" s="275">
        <v>0</v>
      </c>
      <c r="M238" s="207" t="str">
        <f t="shared" si="6"/>
        <v/>
      </c>
      <c r="N238" s="207" t="str">
        <f t="shared" si="7"/>
        <v/>
      </c>
    </row>
    <row r="239" spans="1:14" s="130" customFormat="1" ht="16.5" customHeight="1">
      <c r="A239" s="223"/>
      <c r="B239" s="223"/>
      <c r="C239" s="224" t="s">
        <v>582</v>
      </c>
      <c r="D239" s="224" t="s">
        <v>582</v>
      </c>
      <c r="E239" s="272">
        <v>224</v>
      </c>
      <c r="F239" s="124" t="s">
        <v>45</v>
      </c>
      <c r="G239" s="124" t="s">
        <v>210</v>
      </c>
      <c r="H239" s="310">
        <v>814322</v>
      </c>
      <c r="I239" s="208" t="s">
        <v>219</v>
      </c>
      <c r="J239" s="275">
        <v>0</v>
      </c>
      <c r="K239" s="275">
        <v>0</v>
      </c>
      <c r="L239" s="275">
        <v>0</v>
      </c>
      <c r="M239" s="207" t="str">
        <f t="shared" si="6"/>
        <v/>
      </c>
      <c r="N239" s="207" t="str">
        <f t="shared" si="7"/>
        <v/>
      </c>
    </row>
    <row r="240" spans="1:14" s="130" customFormat="1" ht="16.5" customHeight="1">
      <c r="A240" s="223"/>
      <c r="B240" s="223"/>
      <c r="C240" s="224" t="s">
        <v>582</v>
      </c>
      <c r="D240" s="224" t="s">
        <v>582</v>
      </c>
      <c r="E240" s="272">
        <v>225</v>
      </c>
      <c r="F240" s="124" t="s">
        <v>45</v>
      </c>
      <c r="G240" s="124" t="s">
        <v>210</v>
      </c>
      <c r="H240" s="310">
        <v>814323</v>
      </c>
      <c r="I240" s="208" t="s">
        <v>220</v>
      </c>
      <c r="J240" s="275">
        <v>0</v>
      </c>
      <c r="K240" s="275">
        <v>0</v>
      </c>
      <c r="L240" s="275">
        <v>0</v>
      </c>
      <c r="M240" s="207" t="str">
        <f t="shared" si="6"/>
        <v/>
      </c>
      <c r="N240" s="207" t="str">
        <f t="shared" si="7"/>
        <v/>
      </c>
    </row>
    <row r="241" spans="1:14" s="130" customFormat="1" ht="18" customHeight="1">
      <c r="A241" s="223"/>
      <c r="B241" s="223"/>
      <c r="C241" s="224" t="s">
        <v>582</v>
      </c>
      <c r="D241" s="224" t="s">
        <v>582</v>
      </c>
      <c r="E241" s="272">
        <v>226</v>
      </c>
      <c r="F241" s="124" t="s">
        <v>45</v>
      </c>
      <c r="G241" s="124" t="s">
        <v>210</v>
      </c>
      <c r="H241" s="310">
        <v>814324</v>
      </c>
      <c r="I241" s="208" t="s">
        <v>78</v>
      </c>
      <c r="J241" s="275">
        <v>0</v>
      </c>
      <c r="K241" s="275">
        <v>0</v>
      </c>
      <c r="L241" s="275">
        <v>0</v>
      </c>
      <c r="M241" s="207" t="str">
        <f t="shared" si="6"/>
        <v/>
      </c>
      <c r="N241" s="207" t="str">
        <f t="shared" si="7"/>
        <v/>
      </c>
    </row>
    <row r="242" spans="1:14" s="130" customFormat="1" ht="12" customHeight="1">
      <c r="A242" s="223"/>
      <c r="B242" s="223"/>
      <c r="C242" s="224" t="s">
        <v>582</v>
      </c>
      <c r="D242" s="224" t="s">
        <v>582</v>
      </c>
      <c r="E242" s="272">
        <v>227</v>
      </c>
      <c r="F242" s="124" t="s">
        <v>45</v>
      </c>
      <c r="G242" s="124" t="s">
        <v>210</v>
      </c>
      <c r="H242" s="310">
        <v>814325</v>
      </c>
      <c r="I242" s="208" t="s">
        <v>79</v>
      </c>
      <c r="J242" s="275">
        <v>0</v>
      </c>
      <c r="K242" s="275">
        <v>0</v>
      </c>
      <c r="L242" s="275">
        <v>0</v>
      </c>
      <c r="M242" s="207" t="str">
        <f t="shared" si="6"/>
        <v/>
      </c>
      <c r="N242" s="207" t="str">
        <f t="shared" si="7"/>
        <v/>
      </c>
    </row>
    <row r="243" spans="1:14" s="130" customFormat="1" ht="15" customHeight="1">
      <c r="A243" s="223"/>
      <c r="B243" s="223"/>
      <c r="C243" s="224" t="s">
        <v>582</v>
      </c>
      <c r="D243" s="224" t="s">
        <v>646</v>
      </c>
      <c r="E243" s="272">
        <v>228</v>
      </c>
      <c r="F243" s="124" t="s">
        <v>45</v>
      </c>
      <c r="G243" s="124" t="s">
        <v>210</v>
      </c>
      <c r="H243" s="310">
        <v>814330</v>
      </c>
      <c r="I243" s="305" t="s">
        <v>221</v>
      </c>
      <c r="J243" s="275">
        <v>78104490</v>
      </c>
      <c r="K243" s="275">
        <v>8714787.4499999993</v>
      </c>
      <c r="L243" s="275">
        <v>7220921</v>
      </c>
      <c r="M243" s="207">
        <f t="shared" si="6"/>
        <v>0.11157857185931307</v>
      </c>
      <c r="N243" s="207">
        <f t="shared" si="7"/>
        <v>1.206880320391263</v>
      </c>
    </row>
    <row r="244" spans="1:14" s="130" customFormat="1" ht="15" customHeight="1">
      <c r="A244" s="223"/>
      <c r="B244" s="223"/>
      <c r="C244" s="224"/>
      <c r="D244" s="224"/>
      <c r="E244" s="272">
        <v>229</v>
      </c>
      <c r="F244" s="124"/>
      <c r="G244" s="124"/>
      <c r="H244" s="182">
        <v>815000</v>
      </c>
      <c r="I244" s="183" t="s">
        <v>222</v>
      </c>
      <c r="J244" s="276">
        <v>401833684</v>
      </c>
      <c r="K244" s="273">
        <v>28879135.260000002</v>
      </c>
      <c r="L244" s="273">
        <v>500000</v>
      </c>
      <c r="M244" s="207">
        <f t="shared" si="6"/>
        <v>7.1868378411004491E-2</v>
      </c>
      <c r="N244" s="207">
        <f t="shared" si="7"/>
        <v>57.758270520000004</v>
      </c>
    </row>
    <row r="245" spans="1:14" s="130" customFormat="1" ht="15" customHeight="1">
      <c r="A245" s="223"/>
      <c r="B245" s="223"/>
      <c r="C245" s="225"/>
      <c r="D245" s="225" t="s">
        <v>210</v>
      </c>
      <c r="E245" s="272">
        <v>230</v>
      </c>
      <c r="F245" s="124" t="s">
        <v>223</v>
      </c>
      <c r="G245" s="124" t="s">
        <v>210</v>
      </c>
      <c r="H245" s="182">
        <v>815100</v>
      </c>
      <c r="I245" s="183" t="s">
        <v>211</v>
      </c>
      <c r="J245" s="275">
        <v>0</v>
      </c>
      <c r="K245" s="275">
        <v>924950.26</v>
      </c>
      <c r="L245" s="275">
        <v>0</v>
      </c>
      <c r="M245" s="207" t="str">
        <f t="shared" si="6"/>
        <v/>
      </c>
      <c r="N245" s="207" t="str">
        <f t="shared" si="7"/>
        <v/>
      </c>
    </row>
    <row r="246" spans="1:14" s="130" customFormat="1" ht="15" customHeight="1">
      <c r="A246" s="223"/>
      <c r="B246" s="223"/>
      <c r="C246" s="225"/>
      <c r="D246" s="225" t="s">
        <v>212</v>
      </c>
      <c r="E246" s="272">
        <v>231</v>
      </c>
      <c r="F246" s="124" t="s">
        <v>223</v>
      </c>
      <c r="G246" s="124" t="s">
        <v>212</v>
      </c>
      <c r="H246" s="182">
        <v>815200</v>
      </c>
      <c r="I246" s="183" t="s">
        <v>214</v>
      </c>
      <c r="J246" s="275">
        <v>233684</v>
      </c>
      <c r="K246" s="275">
        <v>0</v>
      </c>
      <c r="L246" s="275">
        <v>0</v>
      </c>
      <c r="M246" s="207">
        <f t="shared" si="6"/>
        <v>0</v>
      </c>
      <c r="N246" s="207" t="str">
        <f t="shared" si="7"/>
        <v/>
      </c>
    </row>
    <row r="247" spans="1:14" s="130" customFormat="1" ht="15" customHeight="1">
      <c r="A247" s="223"/>
      <c r="B247" s="223"/>
      <c r="C247" s="225"/>
      <c r="D247" s="225" t="s">
        <v>582</v>
      </c>
      <c r="E247" s="272">
        <v>232</v>
      </c>
      <c r="F247" s="124"/>
      <c r="G247" s="124"/>
      <c r="H247" s="182">
        <v>815300</v>
      </c>
      <c r="I247" s="183" t="s">
        <v>215</v>
      </c>
      <c r="J247" s="275">
        <v>401600000</v>
      </c>
      <c r="K247" s="275">
        <v>27954185</v>
      </c>
      <c r="L247" s="275">
        <v>500000</v>
      </c>
      <c r="M247" s="207">
        <f t="shared" si="6"/>
        <v>6.9607034362549794E-2</v>
      </c>
      <c r="N247" s="207">
        <f t="shared" si="7"/>
        <v>55.908369999999998</v>
      </c>
    </row>
    <row r="248" spans="1:14" s="130" customFormat="1" ht="15" customHeight="1">
      <c r="A248" s="223"/>
      <c r="B248" s="223"/>
      <c r="C248" s="225" t="s">
        <v>582</v>
      </c>
      <c r="D248" s="225" t="s">
        <v>570</v>
      </c>
      <c r="E248" s="272">
        <v>233</v>
      </c>
      <c r="F248" s="124" t="s">
        <v>224</v>
      </c>
      <c r="G248" s="124" t="s">
        <v>216</v>
      </c>
      <c r="H248" s="310">
        <v>815310</v>
      </c>
      <c r="I248" s="208" t="s">
        <v>225</v>
      </c>
      <c r="J248" s="275">
        <v>360000000</v>
      </c>
      <c r="K248" s="275">
        <v>27954185</v>
      </c>
      <c r="L248" s="275">
        <v>0</v>
      </c>
      <c r="M248" s="207">
        <f t="shared" si="6"/>
        <v>7.7650513888888884E-2</v>
      </c>
      <c r="N248" s="207" t="str">
        <f t="shared" si="7"/>
        <v/>
      </c>
    </row>
    <row r="249" spans="1:14" s="130" customFormat="1" ht="15" customHeight="1">
      <c r="A249" s="223"/>
      <c r="B249" s="223"/>
      <c r="C249" s="225" t="s">
        <v>582</v>
      </c>
      <c r="D249" s="225" t="s">
        <v>582</v>
      </c>
      <c r="E249" s="272">
        <v>234</v>
      </c>
      <c r="F249" s="124" t="s">
        <v>223</v>
      </c>
      <c r="G249" s="124" t="s">
        <v>210</v>
      </c>
      <c r="H249" s="310">
        <v>815320</v>
      </c>
      <c r="I249" s="208" t="s">
        <v>783</v>
      </c>
      <c r="J249" s="275">
        <v>0</v>
      </c>
      <c r="K249" s="275">
        <v>0</v>
      </c>
      <c r="L249" s="275">
        <v>0</v>
      </c>
      <c r="M249" s="207" t="str">
        <f t="shared" si="6"/>
        <v/>
      </c>
      <c r="N249" s="207" t="str">
        <f t="shared" si="7"/>
        <v/>
      </c>
    </row>
    <row r="250" spans="1:14" s="130" customFormat="1" ht="15" customHeight="1">
      <c r="A250" s="223"/>
      <c r="B250" s="223"/>
      <c r="C250" s="225" t="s">
        <v>582</v>
      </c>
      <c r="D250" s="225" t="s">
        <v>582</v>
      </c>
      <c r="E250" s="272">
        <v>235</v>
      </c>
      <c r="F250" s="124" t="s">
        <v>223</v>
      </c>
      <c r="G250" s="124" t="s">
        <v>210</v>
      </c>
      <c r="H250" s="310">
        <v>815321</v>
      </c>
      <c r="I250" s="208" t="s">
        <v>119</v>
      </c>
      <c r="J250" s="275">
        <v>0</v>
      </c>
      <c r="K250" s="275">
        <v>0</v>
      </c>
      <c r="L250" s="275">
        <v>0</v>
      </c>
      <c r="M250" s="207" t="str">
        <f t="shared" si="6"/>
        <v/>
      </c>
      <c r="N250" s="207" t="str">
        <f t="shared" si="7"/>
        <v/>
      </c>
    </row>
    <row r="251" spans="1:14" s="130" customFormat="1" ht="15" customHeight="1">
      <c r="A251" s="223"/>
      <c r="B251" s="223"/>
      <c r="C251" s="225" t="s">
        <v>582</v>
      </c>
      <c r="D251" s="225" t="s">
        <v>582</v>
      </c>
      <c r="E251" s="272">
        <v>236</v>
      </c>
      <c r="F251" s="124" t="s">
        <v>223</v>
      </c>
      <c r="G251" s="124" t="s">
        <v>210</v>
      </c>
      <c r="H251" s="310">
        <v>815322</v>
      </c>
      <c r="I251" s="208" t="s">
        <v>219</v>
      </c>
      <c r="J251" s="275">
        <v>0</v>
      </c>
      <c r="K251" s="275">
        <v>0</v>
      </c>
      <c r="L251" s="275">
        <v>0</v>
      </c>
      <c r="M251" s="207" t="str">
        <f t="shared" si="6"/>
        <v/>
      </c>
      <c r="N251" s="207" t="str">
        <f t="shared" si="7"/>
        <v/>
      </c>
    </row>
    <row r="252" spans="1:14" s="130" customFormat="1" ht="18" customHeight="1">
      <c r="A252" s="223"/>
      <c r="B252" s="223"/>
      <c r="C252" s="225" t="s">
        <v>582</v>
      </c>
      <c r="D252" s="225" t="s">
        <v>582</v>
      </c>
      <c r="E252" s="272">
        <v>237</v>
      </c>
      <c r="F252" s="124" t="s">
        <v>223</v>
      </c>
      <c r="G252" s="124" t="s">
        <v>210</v>
      </c>
      <c r="H252" s="310">
        <v>815323</v>
      </c>
      <c r="I252" s="208" t="s">
        <v>220</v>
      </c>
      <c r="J252" s="275">
        <v>0</v>
      </c>
      <c r="K252" s="275">
        <v>135630.6</v>
      </c>
      <c r="L252" s="275">
        <v>134955</v>
      </c>
      <c r="M252" s="207" t="str">
        <f t="shared" si="6"/>
        <v/>
      </c>
      <c r="N252" s="207">
        <f t="shared" si="7"/>
        <v>1.0050061131488275</v>
      </c>
    </row>
    <row r="253" spans="1:14" s="130" customFormat="1" ht="15" customHeight="1">
      <c r="A253" s="223"/>
      <c r="B253" s="223"/>
      <c r="C253" s="225" t="s">
        <v>582</v>
      </c>
      <c r="D253" s="225" t="s">
        <v>582</v>
      </c>
      <c r="E253" s="272">
        <v>238</v>
      </c>
      <c r="F253" s="124" t="s">
        <v>223</v>
      </c>
      <c r="G253" s="124" t="s">
        <v>210</v>
      </c>
      <c r="H253" s="310">
        <v>815324</v>
      </c>
      <c r="I253" s="208" t="s">
        <v>78</v>
      </c>
      <c r="J253" s="275">
        <v>0</v>
      </c>
      <c r="K253" s="275">
        <v>0</v>
      </c>
      <c r="L253" s="275">
        <v>0</v>
      </c>
      <c r="M253" s="207" t="str">
        <f t="shared" si="6"/>
        <v/>
      </c>
      <c r="N253" s="207" t="str">
        <f t="shared" si="7"/>
        <v/>
      </c>
    </row>
    <row r="254" spans="1:14" s="130" customFormat="1" ht="15.75" customHeight="1">
      <c r="A254" s="223"/>
      <c r="B254" s="223"/>
      <c r="C254" s="225" t="s">
        <v>582</v>
      </c>
      <c r="D254" s="225" t="s">
        <v>582</v>
      </c>
      <c r="E254" s="272">
        <v>239</v>
      </c>
      <c r="F254" s="124" t="s">
        <v>223</v>
      </c>
      <c r="G254" s="124" t="s">
        <v>210</v>
      </c>
      <c r="H254" s="310">
        <v>815325</v>
      </c>
      <c r="I254" s="208" t="s">
        <v>79</v>
      </c>
      <c r="J254" s="275">
        <v>0</v>
      </c>
      <c r="K254" s="275">
        <v>78982.62</v>
      </c>
      <c r="L254" s="275">
        <v>76805</v>
      </c>
      <c r="M254" s="207" t="str">
        <f t="shared" si="6"/>
        <v/>
      </c>
      <c r="N254" s="207">
        <f t="shared" si="7"/>
        <v>1.0283525812121606</v>
      </c>
    </row>
    <row r="255" spans="1:14" s="130" customFormat="1" ht="16.5" customHeight="1">
      <c r="A255" s="223"/>
      <c r="B255" s="223"/>
      <c r="C255" s="225" t="s">
        <v>582</v>
      </c>
      <c r="D255" s="225" t="s">
        <v>646</v>
      </c>
      <c r="E255" s="272">
        <v>240</v>
      </c>
      <c r="F255" s="124" t="s">
        <v>223</v>
      </c>
      <c r="G255" s="124" t="s">
        <v>210</v>
      </c>
      <c r="H255" s="310">
        <v>815330</v>
      </c>
      <c r="I255" s="305" t="s">
        <v>221</v>
      </c>
      <c r="J255" s="275">
        <v>1600000</v>
      </c>
      <c r="K255" s="275">
        <v>0</v>
      </c>
      <c r="L255" s="275">
        <v>500000</v>
      </c>
      <c r="M255" s="207">
        <f t="shared" si="6"/>
        <v>0</v>
      </c>
      <c r="N255" s="207">
        <f t="shared" si="7"/>
        <v>0</v>
      </c>
    </row>
    <row r="256" spans="1:14" s="130" customFormat="1" ht="26.25" customHeight="1">
      <c r="A256" s="223"/>
      <c r="B256" s="223"/>
      <c r="C256" s="225"/>
      <c r="D256" s="225"/>
      <c r="E256" s="272">
        <v>241</v>
      </c>
      <c r="F256" s="124"/>
      <c r="G256" s="152"/>
      <c r="H256" s="172">
        <v>823000</v>
      </c>
      <c r="I256" s="201" t="s">
        <v>226</v>
      </c>
      <c r="J256" s="288">
        <v>1341009480.99</v>
      </c>
      <c r="K256" s="205">
        <v>204993555.77999997</v>
      </c>
      <c r="L256" s="205">
        <v>242520203.97999999</v>
      </c>
      <c r="M256" s="207">
        <f t="shared" si="6"/>
        <v>0.15286510549400703</v>
      </c>
      <c r="N256" s="207">
        <f t="shared" si="7"/>
        <v>0.84526382716099502</v>
      </c>
    </row>
    <row r="257" spans="1:14" s="130" customFormat="1" ht="14.25" customHeight="1">
      <c r="A257" s="223"/>
      <c r="B257" s="223"/>
      <c r="C257" s="225"/>
      <c r="D257" s="225" t="s">
        <v>229</v>
      </c>
      <c r="E257" s="272">
        <v>242</v>
      </c>
      <c r="F257" s="124" t="s">
        <v>45</v>
      </c>
      <c r="G257" s="181" t="s">
        <v>227</v>
      </c>
      <c r="H257" s="182">
        <v>823100</v>
      </c>
      <c r="I257" s="183" t="s">
        <v>228</v>
      </c>
      <c r="J257" s="275">
        <v>784977863</v>
      </c>
      <c r="K257" s="275">
        <v>180851087.13999999</v>
      </c>
      <c r="L257" s="275">
        <v>169560567.72</v>
      </c>
      <c r="M257" s="207">
        <f t="shared" si="6"/>
        <v>0.23039004749615466</v>
      </c>
      <c r="N257" s="207">
        <f t="shared" si="7"/>
        <v>1.066586940417918</v>
      </c>
    </row>
    <row r="258" spans="1:14" s="130" customFormat="1" ht="14.25" customHeight="1">
      <c r="A258" s="223"/>
      <c r="B258" s="223"/>
      <c r="C258" s="225"/>
      <c r="D258" s="225" t="s">
        <v>229</v>
      </c>
      <c r="E258" s="272">
        <v>243</v>
      </c>
      <c r="F258" s="124" t="s">
        <v>45</v>
      </c>
      <c r="G258" s="181" t="s">
        <v>229</v>
      </c>
      <c r="H258" s="182">
        <v>823200</v>
      </c>
      <c r="I258" s="183" t="s">
        <v>230</v>
      </c>
      <c r="J258" s="275">
        <v>30497195</v>
      </c>
      <c r="K258" s="275">
        <v>7939272.9699999997</v>
      </c>
      <c r="L258" s="275">
        <v>8858492.129999999</v>
      </c>
      <c r="M258" s="207">
        <f t="shared" si="6"/>
        <v>0.26032797344149189</v>
      </c>
      <c r="N258" s="207">
        <f t="shared" si="7"/>
        <v>0.89623299919328381</v>
      </c>
    </row>
    <row r="259" spans="1:14" s="130" customFormat="1" ht="14.25" customHeight="1">
      <c r="A259" s="223"/>
      <c r="B259" s="223"/>
      <c r="C259" s="225"/>
      <c r="D259" s="225" t="s">
        <v>585</v>
      </c>
      <c r="E259" s="272">
        <v>244</v>
      </c>
      <c r="F259" s="124"/>
      <c r="G259" s="181"/>
      <c r="H259" s="182">
        <v>823300</v>
      </c>
      <c r="I259" s="183" t="s">
        <v>231</v>
      </c>
      <c r="J259" s="275">
        <v>505685727.24000001</v>
      </c>
      <c r="K259" s="275">
        <v>15546077.67</v>
      </c>
      <c r="L259" s="275">
        <v>63587156.129999995</v>
      </c>
      <c r="M259" s="207">
        <f t="shared" si="6"/>
        <v>3.0742567631579176E-2</v>
      </c>
      <c r="N259" s="207">
        <f t="shared" si="7"/>
        <v>0.24448455657015089</v>
      </c>
    </row>
    <row r="260" spans="1:14" s="130" customFormat="1" ht="14.25" customHeight="1">
      <c r="A260" s="223"/>
      <c r="B260" s="223"/>
      <c r="C260" s="225" t="s">
        <v>585</v>
      </c>
      <c r="D260" s="225" t="s">
        <v>644</v>
      </c>
      <c r="E260" s="272">
        <v>245</v>
      </c>
      <c r="F260" s="124" t="s">
        <v>213</v>
      </c>
      <c r="G260" s="181" t="s">
        <v>232</v>
      </c>
      <c r="H260" s="310">
        <v>823311</v>
      </c>
      <c r="I260" s="305" t="s">
        <v>233</v>
      </c>
      <c r="J260" s="275">
        <v>0</v>
      </c>
      <c r="K260" s="275">
        <v>0</v>
      </c>
      <c r="L260" s="275">
        <v>50000000</v>
      </c>
      <c r="M260" s="207" t="str">
        <f t="shared" si="6"/>
        <v/>
      </c>
      <c r="N260" s="207">
        <f t="shared" si="7"/>
        <v>0</v>
      </c>
    </row>
    <row r="261" spans="1:14" s="130" customFormat="1" ht="14.25" customHeight="1">
      <c r="A261" s="223"/>
      <c r="B261" s="223"/>
      <c r="C261" s="225" t="s">
        <v>585</v>
      </c>
      <c r="D261" s="225" t="s">
        <v>645</v>
      </c>
      <c r="E261" s="272">
        <v>246</v>
      </c>
      <c r="F261" s="124" t="s">
        <v>213</v>
      </c>
      <c r="G261" s="181" t="s">
        <v>232</v>
      </c>
      <c r="H261" s="310">
        <v>823312</v>
      </c>
      <c r="I261" s="305" t="s">
        <v>234</v>
      </c>
      <c r="J261" s="275">
        <v>0</v>
      </c>
      <c r="K261" s="275">
        <v>0</v>
      </c>
      <c r="L261" s="275">
        <v>0</v>
      </c>
      <c r="M261" s="207" t="str">
        <f t="shared" si="6"/>
        <v/>
      </c>
      <c r="N261" s="207" t="str">
        <f t="shared" si="7"/>
        <v/>
      </c>
    </row>
    <row r="262" spans="1:14" s="130" customFormat="1" ht="14.25" customHeight="1">
      <c r="A262" s="223"/>
      <c r="B262" s="223"/>
      <c r="C262" s="225" t="s">
        <v>585</v>
      </c>
      <c r="D262" s="225" t="s">
        <v>648</v>
      </c>
      <c r="E262" s="272">
        <v>247</v>
      </c>
      <c r="F262" s="124" t="s">
        <v>45</v>
      </c>
      <c r="G262" s="181" t="s">
        <v>227</v>
      </c>
      <c r="H262" s="310">
        <v>823320</v>
      </c>
      <c r="I262" s="305" t="s">
        <v>235</v>
      </c>
      <c r="J262" s="275">
        <v>285714.24</v>
      </c>
      <c r="K262" s="275">
        <v>1075308.49</v>
      </c>
      <c r="L262" s="275">
        <v>1133928.22</v>
      </c>
      <c r="M262" s="207">
        <f t="shared" si="6"/>
        <v>3.7635803171728508</v>
      </c>
      <c r="N262" s="207">
        <f t="shared" si="7"/>
        <v>0.94830384413574254</v>
      </c>
    </row>
    <row r="263" spans="1:14" s="130" customFormat="1" ht="14.25" customHeight="1">
      <c r="A263" s="223"/>
      <c r="B263" s="223"/>
      <c r="C263" s="225" t="s">
        <v>585</v>
      </c>
      <c r="D263" s="225" t="s">
        <v>585</v>
      </c>
      <c r="E263" s="272">
        <v>248</v>
      </c>
      <c r="F263" s="124" t="s">
        <v>45</v>
      </c>
      <c r="G263" s="181" t="s">
        <v>227</v>
      </c>
      <c r="H263" s="310">
        <v>823321</v>
      </c>
      <c r="I263" s="208" t="s">
        <v>119</v>
      </c>
      <c r="J263" s="275">
        <v>603514.24</v>
      </c>
      <c r="K263" s="275">
        <v>1154291.49</v>
      </c>
      <c r="L263" s="275">
        <v>1210733.22</v>
      </c>
      <c r="M263" s="207">
        <f t="shared" si="6"/>
        <v>1.9126168257438301</v>
      </c>
      <c r="N263" s="207">
        <f t="shared" si="7"/>
        <v>0.95338219099992982</v>
      </c>
    </row>
    <row r="264" spans="1:14" s="130" customFormat="1" ht="14.25" customHeight="1">
      <c r="A264" s="223"/>
      <c r="B264" s="223"/>
      <c r="C264" s="225" t="s">
        <v>585</v>
      </c>
      <c r="D264" s="225" t="s">
        <v>585</v>
      </c>
      <c r="E264" s="272">
        <v>249</v>
      </c>
      <c r="F264" s="124" t="s">
        <v>45</v>
      </c>
      <c r="G264" s="181" t="s">
        <v>227</v>
      </c>
      <c r="H264" s="310">
        <v>823322</v>
      </c>
      <c r="I264" s="208" t="s">
        <v>219</v>
      </c>
      <c r="J264" s="275">
        <v>0</v>
      </c>
      <c r="K264" s="275">
        <v>0</v>
      </c>
      <c r="L264" s="275">
        <v>0</v>
      </c>
      <c r="M264" s="207" t="str">
        <f t="shared" si="6"/>
        <v/>
      </c>
      <c r="N264" s="207" t="str">
        <f t="shared" si="7"/>
        <v/>
      </c>
    </row>
    <row r="265" spans="1:14" s="130" customFormat="1" ht="14.25" customHeight="1">
      <c r="A265" s="223"/>
      <c r="B265" s="223"/>
      <c r="C265" s="225" t="s">
        <v>585</v>
      </c>
      <c r="D265" s="225" t="s">
        <v>585</v>
      </c>
      <c r="E265" s="272">
        <v>250</v>
      </c>
      <c r="F265" s="124" t="s">
        <v>45</v>
      </c>
      <c r="G265" s="181" t="s">
        <v>227</v>
      </c>
      <c r="H265" s="310">
        <v>823323</v>
      </c>
      <c r="I265" s="208" t="s">
        <v>220</v>
      </c>
      <c r="J265" s="275">
        <v>0</v>
      </c>
      <c r="K265" s="275">
        <v>0</v>
      </c>
      <c r="L265" s="275">
        <v>0</v>
      </c>
      <c r="M265" s="207" t="str">
        <f t="shared" si="6"/>
        <v/>
      </c>
      <c r="N265" s="207" t="str">
        <f t="shared" si="7"/>
        <v/>
      </c>
    </row>
    <row r="266" spans="1:14" s="130" customFormat="1" ht="14.25" customHeight="1">
      <c r="A266" s="223"/>
      <c r="B266" s="223"/>
      <c r="C266" s="225" t="s">
        <v>585</v>
      </c>
      <c r="D266" s="225" t="s">
        <v>585</v>
      </c>
      <c r="E266" s="272">
        <v>251</v>
      </c>
      <c r="F266" s="124" t="s">
        <v>45</v>
      </c>
      <c r="G266" s="181" t="s">
        <v>227</v>
      </c>
      <c r="H266" s="310">
        <v>823324</v>
      </c>
      <c r="I266" s="208" t="s">
        <v>78</v>
      </c>
      <c r="J266" s="275">
        <v>0</v>
      </c>
      <c r="K266" s="275">
        <v>0</v>
      </c>
      <c r="L266" s="275">
        <v>0</v>
      </c>
      <c r="M266" s="207" t="str">
        <f t="shared" si="6"/>
        <v/>
      </c>
      <c r="N266" s="207" t="str">
        <f t="shared" si="7"/>
        <v/>
      </c>
    </row>
    <row r="267" spans="1:14" s="130" customFormat="1" ht="14.25" customHeight="1">
      <c r="A267" s="223"/>
      <c r="B267" s="223"/>
      <c r="C267" s="225" t="s">
        <v>585</v>
      </c>
      <c r="D267" s="225" t="s">
        <v>585</v>
      </c>
      <c r="E267" s="272">
        <v>252</v>
      </c>
      <c r="F267" s="124" t="s">
        <v>45</v>
      </c>
      <c r="G267" s="181" t="s">
        <v>227</v>
      </c>
      <c r="H267" s="310">
        <v>823325</v>
      </c>
      <c r="I267" s="208" t="s">
        <v>79</v>
      </c>
      <c r="J267" s="275">
        <v>0</v>
      </c>
      <c r="K267" s="275">
        <v>0</v>
      </c>
      <c r="L267" s="275">
        <v>0</v>
      </c>
      <c r="M267" s="207" t="str">
        <f t="shared" si="6"/>
        <v/>
      </c>
      <c r="N267" s="207" t="str">
        <f t="shared" si="7"/>
        <v/>
      </c>
    </row>
    <row r="268" spans="1:14" s="130" customFormat="1" ht="14.25" customHeight="1">
      <c r="A268" s="223"/>
      <c r="B268" s="223"/>
      <c r="C268" s="225" t="s">
        <v>585</v>
      </c>
      <c r="D268" s="225" t="s">
        <v>647</v>
      </c>
      <c r="E268" s="272">
        <v>253</v>
      </c>
      <c r="F268" s="124" t="s">
        <v>45</v>
      </c>
      <c r="G268" s="181" t="s">
        <v>227</v>
      </c>
      <c r="H268" s="310">
        <v>823330</v>
      </c>
      <c r="I268" s="305" t="s">
        <v>236</v>
      </c>
      <c r="J268" s="275">
        <v>15426196</v>
      </c>
      <c r="K268" s="275">
        <v>4669305.4000000004</v>
      </c>
      <c r="L268" s="275">
        <v>4621716.9000000004</v>
      </c>
      <c r="M268" s="207">
        <f t="shared" si="6"/>
        <v>0.30268676736636824</v>
      </c>
      <c r="N268" s="207">
        <f t="shared" si="7"/>
        <v>1.0102967146256838</v>
      </c>
    </row>
    <row r="269" spans="1:14" s="130" customFormat="1" ht="14.25" customHeight="1">
      <c r="A269" s="223"/>
      <c r="B269" s="223"/>
      <c r="C269" s="225"/>
      <c r="D269" s="225" t="s">
        <v>645</v>
      </c>
      <c r="E269" s="272">
        <v>254</v>
      </c>
      <c r="F269" s="124" t="s">
        <v>45</v>
      </c>
      <c r="G269" s="181" t="s">
        <v>227</v>
      </c>
      <c r="H269" s="182">
        <v>823400</v>
      </c>
      <c r="I269" s="183" t="s">
        <v>237</v>
      </c>
      <c r="J269" s="275">
        <v>15882539</v>
      </c>
      <c r="K269" s="275">
        <v>44502</v>
      </c>
      <c r="L269" s="275">
        <v>43858</v>
      </c>
      <c r="M269" s="207">
        <f t="shared" si="6"/>
        <v>2.801944953511526E-3</v>
      </c>
      <c r="N269" s="207">
        <f t="shared" si="7"/>
        <v>1.0146837521090792</v>
      </c>
    </row>
    <row r="270" spans="1:14" s="130" customFormat="1" ht="14.25" customHeight="1">
      <c r="A270" s="223"/>
      <c r="B270" s="223"/>
      <c r="C270" s="225"/>
      <c r="D270" s="225" t="s">
        <v>648</v>
      </c>
      <c r="E270" s="272">
        <v>255</v>
      </c>
      <c r="F270" s="124" t="s">
        <v>45</v>
      </c>
      <c r="G270" s="181" t="s">
        <v>227</v>
      </c>
      <c r="H270" s="182">
        <v>823500</v>
      </c>
      <c r="I270" s="183" t="s">
        <v>238</v>
      </c>
      <c r="J270" s="275">
        <v>3966156.75</v>
      </c>
      <c r="K270" s="275">
        <v>612616</v>
      </c>
      <c r="L270" s="275">
        <v>470130</v>
      </c>
      <c r="M270" s="207">
        <f t="shared" si="6"/>
        <v>0.15446086441238108</v>
      </c>
      <c r="N270" s="207">
        <f t="shared" si="7"/>
        <v>1.3030778720779359</v>
      </c>
    </row>
    <row r="271" spans="1:14" s="130" customFormat="1" ht="14.25" customHeight="1">
      <c r="A271" s="223"/>
      <c r="B271" s="223"/>
      <c r="C271" s="225"/>
      <c r="D271" s="225" t="s">
        <v>239</v>
      </c>
      <c r="E271" s="272">
        <v>256</v>
      </c>
      <c r="F271" s="124" t="s">
        <v>240</v>
      </c>
      <c r="G271" s="181" t="s">
        <v>239</v>
      </c>
      <c r="H271" s="182">
        <v>823600</v>
      </c>
      <c r="I271" s="183" t="s">
        <v>241</v>
      </c>
      <c r="J271" s="275">
        <v>0</v>
      </c>
      <c r="K271" s="275">
        <v>0</v>
      </c>
      <c r="L271" s="275">
        <v>0</v>
      </c>
      <c r="M271" s="207" t="str">
        <f t="shared" si="6"/>
        <v/>
      </c>
      <c r="N271" s="207" t="str">
        <f t="shared" si="7"/>
        <v/>
      </c>
    </row>
    <row r="272" spans="1:14" s="130" customFormat="1" ht="30.75" customHeight="1">
      <c r="A272" s="223"/>
      <c r="B272" s="223"/>
      <c r="C272" s="224"/>
      <c r="D272" s="224"/>
      <c r="E272" s="262">
        <v>257</v>
      </c>
      <c r="F272" s="262"/>
      <c r="G272" s="265">
        <v>33</v>
      </c>
      <c r="H272" s="307"/>
      <c r="I272" s="180" t="s">
        <v>784</v>
      </c>
      <c r="J272" s="271">
        <v>200922454.37999988</v>
      </c>
      <c r="K272" s="271">
        <v>-59356685.069999963</v>
      </c>
      <c r="L272" s="271">
        <v>-234761461.97999999</v>
      </c>
      <c r="M272" s="269"/>
      <c r="N272" s="269"/>
    </row>
    <row r="273" spans="1:16" s="130" customFormat="1" ht="30" customHeight="1">
      <c r="A273" s="223"/>
      <c r="B273" s="223"/>
      <c r="C273" s="224"/>
      <c r="D273" s="224"/>
      <c r="E273" s="262">
        <v>258</v>
      </c>
      <c r="F273" s="262"/>
      <c r="G273" s="261"/>
      <c r="H273" s="307"/>
      <c r="I273" s="184" t="s">
        <v>242</v>
      </c>
      <c r="J273" s="271">
        <v>-501928606.07999671</v>
      </c>
      <c r="K273" s="271">
        <v>368213447.9100008</v>
      </c>
      <c r="L273" s="271">
        <v>223030818.5300003</v>
      </c>
      <c r="M273" s="269"/>
      <c r="N273" s="269"/>
      <c r="O273" s="185"/>
    </row>
    <row r="274" spans="1:16" s="191" customFormat="1" ht="18.75" customHeight="1">
      <c r="C274" s="186"/>
      <c r="D274" s="186"/>
      <c r="E274" s="313"/>
      <c r="F274" s="313"/>
      <c r="G274" s="313"/>
      <c r="H274" s="313"/>
      <c r="I274" s="187" t="s">
        <v>697</v>
      </c>
      <c r="J274" s="311"/>
      <c r="K274" s="311">
        <v>76273</v>
      </c>
      <c r="L274" s="311">
        <v>74547</v>
      </c>
      <c r="M274" s="314"/>
      <c r="N274" s="314"/>
      <c r="O274" s="190"/>
    </row>
    <row r="275" spans="1:16" s="191" customFormat="1" ht="15.75" customHeight="1">
      <c r="C275" s="186"/>
      <c r="D275" s="186"/>
      <c r="E275" s="186"/>
      <c r="F275" s="186"/>
      <c r="G275" s="186"/>
      <c r="H275" s="186"/>
      <c r="I275" s="192"/>
      <c r="J275" s="188"/>
      <c r="K275" s="188"/>
      <c r="L275" s="188"/>
      <c r="M275" s="189"/>
      <c r="N275" s="189"/>
      <c r="O275" s="335"/>
    </row>
    <row r="276" spans="1:16" s="130" customFormat="1" ht="18" customHeight="1">
      <c r="C276" s="174"/>
      <c r="D276" s="174"/>
      <c r="E276" s="174"/>
      <c r="F276" s="174"/>
      <c r="G276" s="174"/>
      <c r="H276" s="174"/>
      <c r="I276" s="2"/>
      <c r="J276" s="195"/>
      <c r="K276" s="196"/>
      <c r="L276" s="196"/>
      <c r="M276" s="197"/>
      <c r="N276" s="188"/>
      <c r="O276" s="185"/>
    </row>
    <row r="277" spans="1:16" s="191" customFormat="1" ht="18" customHeight="1">
      <c r="C277" s="186"/>
      <c r="D277" s="186"/>
      <c r="E277" s="193" t="s">
        <v>698</v>
      </c>
      <c r="F277" s="193"/>
      <c r="G277" s="202"/>
      <c r="H277" s="194"/>
      <c r="I277" s="2"/>
      <c r="J277" s="195"/>
      <c r="K277" s="210"/>
      <c r="L277" s="210"/>
      <c r="M277" s="189"/>
      <c r="N277" s="189"/>
      <c r="O277" s="190"/>
    </row>
    <row r="278" spans="1:16" s="198" customFormat="1" ht="63.6" customHeight="1">
      <c r="C278" s="209"/>
      <c r="D278" s="209"/>
      <c r="E278" s="346" t="s">
        <v>699</v>
      </c>
      <c r="F278" s="346" t="s">
        <v>927</v>
      </c>
      <c r="G278" s="346" t="s">
        <v>700</v>
      </c>
      <c r="H278" s="346" t="s">
        <v>701</v>
      </c>
      <c r="I278" s="346" t="s">
        <v>702</v>
      </c>
      <c r="J278" s="347" t="s">
        <v>703</v>
      </c>
      <c r="K278" s="347" t="s">
        <v>704</v>
      </c>
      <c r="L278" s="158"/>
      <c r="M278" s="158"/>
    </row>
    <row r="279" spans="1:16" s="131" customFormat="1">
      <c r="C279" s="199"/>
      <c r="D279" s="199"/>
      <c r="E279" s="156" t="s">
        <v>939</v>
      </c>
      <c r="F279" s="352" t="s">
        <v>955</v>
      </c>
      <c r="G279" s="352" t="s">
        <v>956</v>
      </c>
      <c r="H279" s="352" t="s">
        <v>928</v>
      </c>
      <c r="I279" s="348" t="s">
        <v>962</v>
      </c>
      <c r="J279" s="358">
        <v>254688935.07999998</v>
      </c>
      <c r="K279" s="358">
        <v>95029106.039999992</v>
      </c>
      <c r="M279" s="129"/>
      <c r="P279" s="129"/>
    </row>
    <row r="280" spans="1:16" s="131" customFormat="1" ht="24">
      <c r="C280" s="199"/>
      <c r="D280" s="199"/>
      <c r="E280" s="156" t="s">
        <v>940</v>
      </c>
      <c r="F280" s="352"/>
      <c r="G280" s="352"/>
      <c r="H280" s="353">
        <v>100000</v>
      </c>
      <c r="I280" s="351" t="s">
        <v>938</v>
      </c>
      <c r="J280" s="358">
        <v>3248725912.4800024</v>
      </c>
      <c r="K280" s="358">
        <v>3202882343.2200003</v>
      </c>
      <c r="M280" s="129"/>
      <c r="P280" s="129"/>
    </row>
    <row r="281" spans="1:16" s="131" customFormat="1">
      <c r="C281" s="199"/>
      <c r="D281" s="199"/>
      <c r="E281" s="156" t="s">
        <v>941</v>
      </c>
      <c r="F281" s="346" t="s">
        <v>929</v>
      </c>
      <c r="G281" s="346">
        <v>6212</v>
      </c>
      <c r="H281" s="352">
        <v>110000</v>
      </c>
      <c r="I281" s="348" t="s">
        <v>785</v>
      </c>
      <c r="J281" s="358">
        <v>2347912158.6499987</v>
      </c>
      <c r="K281" s="358">
        <v>2296241840.8399997</v>
      </c>
      <c r="M281" s="129"/>
      <c r="P281" s="129"/>
    </row>
    <row r="282" spans="1:16" s="131" customFormat="1">
      <c r="C282" s="199"/>
      <c r="D282" s="199"/>
      <c r="E282" s="156" t="s">
        <v>942</v>
      </c>
      <c r="F282" s="346" t="s">
        <v>955</v>
      </c>
      <c r="G282" s="346" t="s">
        <v>956</v>
      </c>
      <c r="H282" s="352">
        <v>141211</v>
      </c>
      <c r="I282" s="348" t="s">
        <v>961</v>
      </c>
      <c r="J282" s="358">
        <v>34435290.759999998</v>
      </c>
      <c r="K282" s="358">
        <v>29135290.759999998</v>
      </c>
      <c r="L282" s="323"/>
      <c r="P282" s="129"/>
    </row>
    <row r="283" spans="1:16" s="131" customFormat="1">
      <c r="C283" s="199"/>
      <c r="D283" s="199"/>
      <c r="E283" s="156" t="s">
        <v>943</v>
      </c>
      <c r="F283" s="346" t="s">
        <v>930</v>
      </c>
      <c r="G283" s="346">
        <v>6213</v>
      </c>
      <c r="H283" s="352">
        <v>120000</v>
      </c>
      <c r="I283" s="348" t="s">
        <v>243</v>
      </c>
      <c r="J283" s="358">
        <v>7942403</v>
      </c>
      <c r="K283" s="358">
        <v>8205975</v>
      </c>
      <c r="P283" s="129"/>
    </row>
    <row r="284" spans="1:16" s="131" customFormat="1">
      <c r="C284" s="199"/>
      <c r="D284" s="199"/>
      <c r="E284" s="156" t="s">
        <v>944</v>
      </c>
      <c r="F284" s="346" t="s">
        <v>931</v>
      </c>
      <c r="G284" s="346">
        <v>6218</v>
      </c>
      <c r="H284" s="352">
        <v>130000</v>
      </c>
      <c r="I284" s="348" t="s">
        <v>244</v>
      </c>
      <c r="J284" s="358">
        <v>608207601.22000003</v>
      </c>
      <c r="K284" s="358">
        <v>620229156.23000002</v>
      </c>
      <c r="P284" s="129"/>
    </row>
    <row r="285" spans="1:16" s="131" customFormat="1">
      <c r="C285" s="199"/>
      <c r="D285" s="199"/>
      <c r="E285" s="156" t="s">
        <v>945</v>
      </c>
      <c r="F285" s="346" t="s">
        <v>932</v>
      </c>
      <c r="G285" s="346">
        <v>6213</v>
      </c>
      <c r="H285" s="352">
        <v>140000</v>
      </c>
      <c r="I285" s="348" t="s">
        <v>245</v>
      </c>
      <c r="J285" s="358">
        <v>118740861.02</v>
      </c>
      <c r="K285" s="358">
        <v>133618428.5</v>
      </c>
      <c r="P285" s="129"/>
    </row>
    <row r="286" spans="1:16">
      <c r="E286" s="156" t="s">
        <v>946</v>
      </c>
      <c r="F286" s="346"/>
      <c r="G286" s="346"/>
      <c r="H286" s="353">
        <v>300000</v>
      </c>
      <c r="I286" s="350" t="s">
        <v>246</v>
      </c>
      <c r="J286" s="358">
        <v>2969184998.5099998</v>
      </c>
      <c r="K286" s="358">
        <v>2339885178.54</v>
      </c>
    </row>
    <row r="287" spans="1:16">
      <c r="E287" s="156" t="s">
        <v>947</v>
      </c>
      <c r="F287" s="346" t="s">
        <v>957</v>
      </c>
      <c r="G287" s="346" t="s">
        <v>958</v>
      </c>
      <c r="H287" s="352">
        <v>310000</v>
      </c>
      <c r="I287" s="348" t="s">
        <v>933</v>
      </c>
      <c r="J287" s="358">
        <v>992653805.76999998</v>
      </c>
      <c r="K287" s="358">
        <v>494315333.84999996</v>
      </c>
    </row>
    <row r="288" spans="1:16">
      <c r="E288" s="156" t="s">
        <v>948</v>
      </c>
      <c r="F288" s="346" t="s">
        <v>957</v>
      </c>
      <c r="G288" s="346" t="s">
        <v>958</v>
      </c>
      <c r="H288" s="352">
        <v>340000</v>
      </c>
      <c r="I288" s="348" t="s">
        <v>934</v>
      </c>
      <c r="J288" s="358">
        <v>362908289.47999996</v>
      </c>
      <c r="K288" s="358">
        <v>375008498.40000004</v>
      </c>
    </row>
    <row r="289" spans="5:11" ht="24">
      <c r="E289" s="156" t="s">
        <v>949</v>
      </c>
      <c r="F289" s="346" t="s">
        <v>957</v>
      </c>
      <c r="G289" s="346" t="s">
        <v>959</v>
      </c>
      <c r="H289" s="352">
        <v>360000</v>
      </c>
      <c r="I289" s="349" t="s">
        <v>960</v>
      </c>
      <c r="J289" s="358">
        <v>15398325.25</v>
      </c>
      <c r="K289" s="358">
        <v>7866652.3800000008</v>
      </c>
    </row>
    <row r="290" spans="5:11">
      <c r="E290" s="156" t="s">
        <v>950</v>
      </c>
      <c r="F290" s="346" t="s">
        <v>957</v>
      </c>
      <c r="G290" s="346" t="s">
        <v>959</v>
      </c>
      <c r="H290" s="352">
        <v>390000</v>
      </c>
      <c r="I290" s="348" t="s">
        <v>935</v>
      </c>
      <c r="J290" s="358">
        <v>1513949943.4000001</v>
      </c>
      <c r="K290" s="358">
        <v>1467713564.2800002</v>
      </c>
    </row>
    <row r="291" spans="5:11">
      <c r="E291" s="156" t="s">
        <v>951</v>
      </c>
      <c r="F291" s="346"/>
      <c r="G291" s="346"/>
      <c r="H291" s="353">
        <v>400000</v>
      </c>
      <c r="I291" s="350" t="s">
        <v>247</v>
      </c>
      <c r="J291" s="358">
        <v>7285982264.6100006</v>
      </c>
      <c r="K291" s="358">
        <v>7136049754.3799992</v>
      </c>
    </row>
    <row r="292" spans="5:11">
      <c r="E292" s="156" t="s">
        <v>952</v>
      </c>
      <c r="F292" s="346" t="s">
        <v>957</v>
      </c>
      <c r="G292" s="346" t="s">
        <v>959</v>
      </c>
      <c r="H292" s="352">
        <v>420000</v>
      </c>
      <c r="I292" s="348" t="s">
        <v>936</v>
      </c>
      <c r="J292" s="358">
        <v>287048862.71999997</v>
      </c>
      <c r="K292" s="358">
        <v>280864064.85999995</v>
      </c>
    </row>
    <row r="293" spans="5:11">
      <c r="E293" s="156" t="s">
        <v>953</v>
      </c>
      <c r="F293" s="346" t="s">
        <v>957</v>
      </c>
      <c r="G293" s="346" t="s">
        <v>959</v>
      </c>
      <c r="H293" s="352">
        <v>490000</v>
      </c>
      <c r="I293" s="348" t="s">
        <v>937</v>
      </c>
      <c r="J293" s="358">
        <v>64668351.870000005</v>
      </c>
      <c r="K293" s="358">
        <v>63188450.189999998</v>
      </c>
    </row>
    <row r="294" spans="5:11">
      <c r="I294" s="3"/>
      <c r="J294" s="200"/>
      <c r="K294" s="131"/>
    </row>
    <row r="295" spans="5:11">
      <c r="I295" s="3"/>
      <c r="J295" s="200"/>
      <c r="K295" s="131"/>
    </row>
    <row r="296" spans="5:11">
      <c r="I296" s="3"/>
      <c r="J296" s="200"/>
      <c r="K296" s="131"/>
    </row>
    <row r="297" spans="5:11">
      <c r="I297" s="3"/>
      <c r="J297" s="158"/>
    </row>
    <row r="298" spans="5:11">
      <c r="I298" s="3"/>
      <c r="J298" s="158"/>
    </row>
    <row r="299" spans="5:11">
      <c r="I299" s="3"/>
      <c r="J299" s="158"/>
    </row>
    <row r="300" spans="5:11">
      <c r="I300" s="3"/>
      <c r="J300" s="158"/>
    </row>
    <row r="301" spans="5:11">
      <c r="I301" s="3"/>
      <c r="J301" s="158"/>
    </row>
    <row r="302" spans="5:11">
      <c r="I302" s="3"/>
      <c r="J302" s="158"/>
    </row>
    <row r="303" spans="5:11">
      <c r="I303" s="3"/>
      <c r="J303" s="158"/>
    </row>
    <row r="304" spans="5:11">
      <c r="I304" s="3"/>
      <c r="J304" s="158"/>
    </row>
    <row r="305" spans="9:10">
      <c r="I305" s="3"/>
      <c r="J305" s="158"/>
    </row>
    <row r="306" spans="9:10">
      <c r="I306" s="3"/>
      <c r="J306" s="158"/>
    </row>
    <row r="307" spans="9:10">
      <c r="I307" s="3"/>
      <c r="J307" s="158"/>
    </row>
    <row r="308" spans="9:10">
      <c r="I308" s="3"/>
      <c r="J308" s="158"/>
    </row>
    <row r="309" spans="9:10">
      <c r="I309" s="3"/>
      <c r="J309" s="158"/>
    </row>
    <row r="310" spans="9:10">
      <c r="I310" s="3"/>
      <c r="J310" s="158"/>
    </row>
    <row r="311" spans="9:10">
      <c r="I311" s="3"/>
      <c r="J311" s="158"/>
    </row>
    <row r="312" spans="9:10">
      <c r="I312" s="3"/>
      <c r="J312" s="158"/>
    </row>
    <row r="313" spans="9:10">
      <c r="I313" s="3"/>
      <c r="J313" s="158"/>
    </row>
    <row r="314" spans="9:10">
      <c r="I314" s="158"/>
      <c r="J314" s="158"/>
    </row>
    <row r="315" spans="9:10" ht="26.25" customHeight="1">
      <c r="I315" s="158"/>
      <c r="J315" s="158"/>
    </row>
    <row r="316" spans="9:10" ht="26.25" customHeight="1">
      <c r="I316" s="158"/>
      <c r="J316" s="158"/>
    </row>
    <row r="317" spans="9:10" ht="26.25" customHeight="1">
      <c r="I317" s="158"/>
      <c r="J317" s="158"/>
    </row>
    <row r="318" spans="9:10" ht="26.25" customHeight="1">
      <c r="I318" s="158"/>
      <c r="J318" s="158"/>
    </row>
    <row r="319" spans="9:10" ht="26.25" customHeight="1">
      <c r="I319" s="158"/>
      <c r="J319" s="158"/>
    </row>
    <row r="320" spans="9:10" ht="26.25" customHeight="1">
      <c r="I320" s="158"/>
      <c r="J320" s="158"/>
    </row>
    <row r="321" spans="9:10" ht="26.25" customHeight="1">
      <c r="I321" s="158"/>
      <c r="J321" s="158"/>
    </row>
    <row r="322" spans="9:10" ht="26.25" customHeight="1">
      <c r="I322" s="158"/>
      <c r="J322" s="158"/>
    </row>
    <row r="323" spans="9:10" ht="26.25" customHeight="1">
      <c r="I323" s="158"/>
      <c r="J323" s="158"/>
    </row>
    <row r="324" spans="9:10" ht="26.25" customHeight="1">
      <c r="I324" s="158"/>
      <c r="J324" s="158"/>
    </row>
    <row r="325" spans="9:10" ht="26.25" customHeight="1">
      <c r="I325" s="158"/>
      <c r="J325" s="158"/>
    </row>
    <row r="326" spans="9:10" ht="26.25" customHeight="1">
      <c r="I326" s="158"/>
      <c r="J326" s="158"/>
    </row>
    <row r="327" spans="9:10" ht="26.25" customHeight="1">
      <c r="I327" s="158"/>
      <c r="J327" s="158"/>
    </row>
    <row r="328" spans="9:10" ht="26.25" customHeight="1">
      <c r="I328" s="158"/>
      <c r="J328" s="158"/>
    </row>
    <row r="329" spans="9:10" ht="26.25" customHeight="1">
      <c r="I329" s="158"/>
      <c r="J329" s="158"/>
    </row>
    <row r="330" spans="9:10" ht="26.25" customHeight="1">
      <c r="I330" s="158"/>
      <c r="J330" s="158"/>
    </row>
    <row r="331" spans="9:10" ht="26.25" customHeight="1">
      <c r="I331" s="158"/>
      <c r="J331" s="158"/>
    </row>
    <row r="332" spans="9:10" ht="26.25" customHeight="1">
      <c r="I332" s="158"/>
      <c r="J332" s="158"/>
    </row>
    <row r="333" spans="9:10" ht="26.25" customHeight="1">
      <c r="I333" s="158"/>
      <c r="J333" s="158"/>
    </row>
    <row r="334" spans="9:10" ht="26.25" customHeight="1">
      <c r="I334" s="158"/>
      <c r="J334" s="158"/>
    </row>
    <row r="335" spans="9:10" ht="26.25" customHeight="1">
      <c r="I335" s="158"/>
    </row>
    <row r="336" spans="9:10" ht="26.25" customHeight="1">
      <c r="I336" s="158"/>
    </row>
    <row r="337" spans="9:9" ht="26.25" customHeight="1">
      <c r="I337" s="158"/>
    </row>
    <row r="338" spans="9:9" ht="26.25" customHeight="1">
      <c r="I338" s="158"/>
    </row>
    <row r="339" spans="9:9" ht="26.25" customHeight="1">
      <c r="I339" s="158"/>
    </row>
    <row r="340" spans="9:9" ht="26.25" customHeight="1">
      <c r="I340" s="158"/>
    </row>
    <row r="341" spans="9:9" ht="26.25" customHeight="1">
      <c r="I341" s="158"/>
    </row>
    <row r="342" spans="9:9">
      <c r="I342" s="158"/>
    </row>
    <row r="343" spans="9:9">
      <c r="I343" s="158"/>
    </row>
    <row r="344" spans="9:9">
      <c r="I344" s="158"/>
    </row>
    <row r="345" spans="9:9">
      <c r="I345" s="158"/>
    </row>
    <row r="346" spans="9:9">
      <c r="I346" s="158"/>
    </row>
    <row r="347" spans="9:9">
      <c r="I347" s="158"/>
    </row>
    <row r="348" spans="9:9">
      <c r="I348" s="158"/>
    </row>
    <row r="349" spans="9:9">
      <c r="I349" s="158"/>
    </row>
    <row r="350" spans="9:9">
      <c r="I350" s="158"/>
    </row>
    <row r="351" spans="9:9">
      <c r="I351" s="158"/>
    </row>
    <row r="352" spans="9:9">
      <c r="I352" s="158"/>
    </row>
    <row r="353" spans="9:9">
      <c r="I353" s="158"/>
    </row>
    <row r="354" spans="9:9">
      <c r="I354" s="158"/>
    </row>
    <row r="355" spans="9:9">
      <c r="I355" s="158"/>
    </row>
    <row r="356" spans="9:9">
      <c r="I356" s="158"/>
    </row>
    <row r="357" spans="9:9">
      <c r="I357" s="158"/>
    </row>
    <row r="358" spans="9:9">
      <c r="I358" s="158"/>
    </row>
    <row r="359" spans="9:9">
      <c r="I359" s="158"/>
    </row>
    <row r="360" spans="9:9">
      <c r="I360" s="158"/>
    </row>
    <row r="361" spans="9:9">
      <c r="I361" s="158"/>
    </row>
    <row r="362" spans="9:9">
      <c r="I362" s="158"/>
    </row>
    <row r="363" spans="9:9">
      <c r="I363" s="158"/>
    </row>
    <row r="364" spans="9:9">
      <c r="I364" s="158"/>
    </row>
    <row r="365" spans="9:9">
      <c r="I365" s="158"/>
    </row>
    <row r="366" spans="9:9">
      <c r="I366" s="158"/>
    </row>
    <row r="367" spans="9:9">
      <c r="I367" s="158"/>
    </row>
    <row r="368" spans="9:9">
      <c r="I368" s="158"/>
    </row>
    <row r="369" spans="9:9">
      <c r="I369" s="158"/>
    </row>
    <row r="370" spans="9:9">
      <c r="I370" s="158"/>
    </row>
    <row r="371" spans="9:9">
      <c r="I371" s="158"/>
    </row>
    <row r="372" spans="9:9">
      <c r="I372" s="158"/>
    </row>
    <row r="373" spans="9:9">
      <c r="I373" s="158"/>
    </row>
    <row r="374" spans="9:9">
      <c r="I374" s="158"/>
    </row>
    <row r="375" spans="9:9">
      <c r="I375" s="158"/>
    </row>
    <row r="376" spans="9:9">
      <c r="I376" s="158"/>
    </row>
    <row r="377" spans="9:9">
      <c r="I377" s="158"/>
    </row>
    <row r="378" spans="9:9">
      <c r="I378" s="158"/>
    </row>
    <row r="379" spans="9:9">
      <c r="I379" s="158"/>
    </row>
    <row r="380" spans="9:9">
      <c r="I380" s="158"/>
    </row>
    <row r="381" spans="9:9">
      <c r="I381" s="158"/>
    </row>
    <row r="382" spans="9:9">
      <c r="I382" s="158"/>
    </row>
    <row r="383" spans="9:9">
      <c r="I383" s="158"/>
    </row>
    <row r="384" spans="9:9">
      <c r="I384" s="158"/>
    </row>
    <row r="385" spans="9:9">
      <c r="I385" s="158"/>
    </row>
    <row r="386" spans="9:9">
      <c r="I386" s="158"/>
    </row>
    <row r="387" spans="9:9">
      <c r="I387" s="158"/>
    </row>
    <row r="388" spans="9:9">
      <c r="I388" s="158"/>
    </row>
    <row r="389" spans="9:9">
      <c r="I389" s="158"/>
    </row>
    <row r="390" spans="9:9">
      <c r="I390" s="158"/>
    </row>
    <row r="391" spans="9:9">
      <c r="I391" s="158"/>
    </row>
    <row r="392" spans="9:9">
      <c r="I392" s="158"/>
    </row>
    <row r="393" spans="9:9">
      <c r="I393" s="158"/>
    </row>
    <row r="394" spans="9:9">
      <c r="I394" s="158"/>
    </row>
    <row r="395" spans="9:9">
      <c r="I395" s="158"/>
    </row>
    <row r="396" spans="9:9">
      <c r="I396" s="158"/>
    </row>
    <row r="397" spans="9:9">
      <c r="I397" s="158"/>
    </row>
    <row r="398" spans="9:9">
      <c r="I398" s="158"/>
    </row>
    <row r="399" spans="9:9">
      <c r="I399" s="158"/>
    </row>
  </sheetData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ERP</vt:lpstr>
      <vt:lpstr>HRT</vt:lpstr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ivana raguz</cp:lastModifiedBy>
  <cp:lastPrinted>2024-05-20T12:08:37Z</cp:lastPrinted>
  <dcterms:created xsi:type="dcterms:W3CDTF">2018-01-23T00:23:10Z</dcterms:created>
  <dcterms:modified xsi:type="dcterms:W3CDTF">2024-06-12T09:23:31Z</dcterms:modified>
</cp:coreProperties>
</file>